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<sst xmlns="http://schemas.openxmlformats.org/spreadsheetml/2006/main" count="896" uniqueCount="493">
  <si>
    <t xml:space="preserve">         SCHNITTLISTE 2002 der JUGEND</t>
  </si>
  <si>
    <t xml:space="preserve">19. Jugendvergleich HH-B - Jugendliga - Jugenddoppel </t>
  </si>
  <si>
    <t>NAME-Vorname</t>
  </si>
  <si>
    <t>Jahr</t>
  </si>
  <si>
    <t>CLUB</t>
  </si>
  <si>
    <t>Schn.</t>
  </si>
  <si>
    <t>JUNIOREN</t>
  </si>
  <si>
    <t>Stenzel Alexander</t>
  </si>
  <si>
    <t>BSC Kraftwerk</t>
  </si>
  <si>
    <t>Braun Holger</t>
  </si>
  <si>
    <t>SBC Ten Pins</t>
  </si>
  <si>
    <t>Baille Alexander</t>
  </si>
  <si>
    <t>CBFB</t>
  </si>
  <si>
    <t>Baade Marco</t>
  </si>
  <si>
    <t>Bartel Dustin</t>
  </si>
  <si>
    <t>Donner Mario</t>
  </si>
  <si>
    <t>N S F</t>
  </si>
  <si>
    <t>Wilke Florian</t>
  </si>
  <si>
    <t>Lau Manuel</t>
  </si>
  <si>
    <t>Koop Sven</t>
  </si>
  <si>
    <t>Helterhoff Patrick</t>
  </si>
  <si>
    <t>Reinickendorfer Füchse</t>
  </si>
  <si>
    <t>Lindner Sebastian</t>
  </si>
  <si>
    <t>Bein Michael</t>
  </si>
  <si>
    <t>Glatzer Raymond</t>
  </si>
  <si>
    <t>1. JBC 66</t>
  </si>
  <si>
    <t>Mogel Thomas</t>
  </si>
  <si>
    <t>Weise Sven</t>
  </si>
  <si>
    <t>Förster Stefan</t>
  </si>
  <si>
    <t>Metzkow Dominik</t>
  </si>
  <si>
    <t>Brandt Sascha</t>
  </si>
  <si>
    <t>Zeidler Sebastian</t>
  </si>
  <si>
    <t>Vollmann Lars</t>
  </si>
  <si>
    <t>1. NBC</t>
  </si>
  <si>
    <t>Rücker Marcel</t>
  </si>
  <si>
    <t>Koltermann Benjamin</t>
  </si>
  <si>
    <t>BBC Preußen 94</t>
  </si>
  <si>
    <t>Rüdiger Heiko</t>
  </si>
  <si>
    <t>Gelhaus Sven</t>
  </si>
  <si>
    <t>BC Nolle</t>
  </si>
  <si>
    <t>Grauel Moritz</t>
  </si>
  <si>
    <t>BC´79 Nordbowlies</t>
  </si>
  <si>
    <t>Hauchwitz Sascha</t>
  </si>
  <si>
    <t>Lubitz Benjamin</t>
  </si>
  <si>
    <t>Schüttler Stefan</t>
  </si>
  <si>
    <t>Rammelt Daniel</t>
  </si>
  <si>
    <t>Meyer Tim</t>
  </si>
  <si>
    <t>Kietz Bowler Marzahn</t>
  </si>
  <si>
    <t>Griel Michael</t>
  </si>
  <si>
    <t>Gloe Timo</t>
  </si>
  <si>
    <t>LG - ASC</t>
  </si>
  <si>
    <t>Ramm Sascha</t>
  </si>
  <si>
    <t>Los Diablos</t>
  </si>
  <si>
    <t>Gervasi Filippo</t>
  </si>
  <si>
    <t>Otto Julian</t>
  </si>
  <si>
    <t>Jeppe Daniel</t>
  </si>
  <si>
    <t>Phoenix 71</t>
  </si>
  <si>
    <t>Puppatz Christoph Alexander</t>
  </si>
  <si>
    <t>Einzelmitglied</t>
  </si>
  <si>
    <t>Riegel Sven</t>
  </si>
  <si>
    <t>m A -Jugend</t>
  </si>
  <si>
    <t>Sandowski D.</t>
  </si>
  <si>
    <t>BSRK 1883 Brandenb.</t>
  </si>
  <si>
    <t>Schau Norman</t>
  </si>
  <si>
    <t>Easy Bowling SG</t>
  </si>
  <si>
    <t>Kliesch Benjamin</t>
  </si>
  <si>
    <t>Friedrich Dustin</t>
  </si>
  <si>
    <t>Koslowski Carsten</t>
  </si>
  <si>
    <t>Maier Robert</t>
  </si>
  <si>
    <t>Drevenstedt Frank</t>
  </si>
  <si>
    <t>Kondrot Florian</t>
  </si>
  <si>
    <t>Brieger Jochen</t>
  </si>
  <si>
    <t>Wanderburg Timo</t>
  </si>
  <si>
    <t>Weber Morten</t>
  </si>
  <si>
    <t>Richter Benjamin</t>
  </si>
  <si>
    <t>Issa Yasin</t>
  </si>
  <si>
    <t>Stengel Jean</t>
  </si>
  <si>
    <t>Dittmann Dennis</t>
  </si>
  <si>
    <t>Gutsche Falco</t>
  </si>
  <si>
    <t>Kroll Alexander</t>
  </si>
  <si>
    <t>JBF 2000</t>
  </si>
  <si>
    <t>Müller Lars</t>
  </si>
  <si>
    <t>Ruppelt Norman</t>
  </si>
  <si>
    <t>Fraedrich Stefan</t>
  </si>
  <si>
    <t>Gieseler Steffen</t>
  </si>
  <si>
    <t>Hantzsch Falco</t>
  </si>
  <si>
    <t>Ressel Rene</t>
  </si>
  <si>
    <t>Riegel Benjamin</t>
  </si>
  <si>
    <t>Schramm Christian</t>
  </si>
  <si>
    <t>Wolter Pascale</t>
  </si>
  <si>
    <t>Ribguth Dennis</t>
  </si>
  <si>
    <t>BSRK 1883 Brandenburg</t>
  </si>
  <si>
    <t>Jänisch Marcus</t>
  </si>
  <si>
    <t>Eisenhüttenstadt BV 62</t>
  </si>
  <si>
    <t>Schurig Mathias</t>
  </si>
  <si>
    <t>Bowlhouse 2001</t>
  </si>
  <si>
    <t>Engel Johannes</t>
  </si>
  <si>
    <t>Stannelle Mathias</t>
  </si>
  <si>
    <t>Müller Robert</t>
  </si>
  <si>
    <t>Göpfert Peer</t>
  </si>
  <si>
    <t>Big Bowl Lichtenberg</t>
  </si>
  <si>
    <t>Groche Lars</t>
  </si>
  <si>
    <t>Kangeroo`s Club Hohen.</t>
  </si>
  <si>
    <t>Walter Daniel</t>
  </si>
  <si>
    <t>Fenske Martin</t>
  </si>
  <si>
    <t>Herman Christian</t>
  </si>
  <si>
    <t>Kaiser Andre</t>
  </si>
  <si>
    <t>Dressler Norman</t>
  </si>
  <si>
    <t>Sandke Ronny</t>
  </si>
  <si>
    <t>Arndt Christian</t>
  </si>
  <si>
    <t>Kühn Norman</t>
  </si>
  <si>
    <t>Glatzel Carsten</t>
  </si>
  <si>
    <t>Stürzebecher Sandro</t>
  </si>
  <si>
    <t>Kersten Peter</t>
  </si>
  <si>
    <t>Mandtke Martin</t>
  </si>
  <si>
    <t>Roisch Martin</t>
  </si>
  <si>
    <t>Kodanak Manuel</t>
  </si>
  <si>
    <t>Dombrowski Sebastian</t>
  </si>
  <si>
    <t>Kirsche Sebastian</t>
  </si>
  <si>
    <t>Weller Robert</t>
  </si>
  <si>
    <t>Walinowski Björn</t>
  </si>
  <si>
    <t>Meschko Michael</t>
  </si>
  <si>
    <t>Eisenhüttenstadt 1962</t>
  </si>
  <si>
    <t>Litzba Frank</t>
  </si>
  <si>
    <t>Polzin Daniel</t>
  </si>
  <si>
    <t>Patzer Dennis David</t>
  </si>
  <si>
    <t>Kubatz Markus</t>
  </si>
  <si>
    <t>Melcher Marcel</t>
  </si>
  <si>
    <t>Greiner Patrick</t>
  </si>
  <si>
    <t>Seidler Stefan</t>
  </si>
  <si>
    <t>Schulz Alexander</t>
  </si>
  <si>
    <t>Big Bowl Club Lichtenberg</t>
  </si>
  <si>
    <t>Karst Philip</t>
  </si>
  <si>
    <t>Nerbe Stefan</t>
  </si>
  <si>
    <t>Piehl Nico</t>
  </si>
  <si>
    <t>Hermann Oliver</t>
  </si>
  <si>
    <t>Liebing Alexander</t>
  </si>
  <si>
    <t>Maaß Michael</t>
  </si>
  <si>
    <t>Karbe Andreas</t>
  </si>
  <si>
    <t>Glatzel Holger</t>
  </si>
  <si>
    <t>Jeremies Albrecht</t>
  </si>
  <si>
    <t>Albrecht  Martin</t>
  </si>
  <si>
    <t>Fortuna Südost</t>
  </si>
  <si>
    <t>Fleischer Torsten</t>
  </si>
  <si>
    <t>Hoppe Thorsten</t>
  </si>
  <si>
    <t>Lange Michael</t>
  </si>
  <si>
    <t>Wickel Willi</t>
  </si>
  <si>
    <t>Stephan  Pierre</t>
  </si>
  <si>
    <t>Badnarz Marius</t>
  </si>
  <si>
    <t>Rösler Marco</t>
  </si>
  <si>
    <t>Hermann Paul</t>
  </si>
  <si>
    <t>Petzold Thom</t>
  </si>
  <si>
    <t>Hollenbach Marc</t>
  </si>
  <si>
    <t>Jäckel Tobias</t>
  </si>
  <si>
    <t>Heise Sebastian</t>
  </si>
  <si>
    <t>Brandt Dennis</t>
  </si>
  <si>
    <t>Przydryga Pascal</t>
  </si>
  <si>
    <t>Ernst Marcel</t>
  </si>
  <si>
    <t>Reza Cedrik</t>
  </si>
  <si>
    <t>Jungen Sebastian</t>
  </si>
  <si>
    <t>Wunsch Andreas</t>
  </si>
  <si>
    <t>Kralisch Patrick</t>
  </si>
  <si>
    <t>Schmiel Matthias</t>
  </si>
  <si>
    <t>Smolling Philipp</t>
  </si>
  <si>
    <t>Schaefer Felix</t>
  </si>
  <si>
    <t>Rizk Sami</t>
  </si>
  <si>
    <t>Apel Marian</t>
  </si>
  <si>
    <t>Müller Carsten</t>
  </si>
  <si>
    <t>Ulbricht Dennis</t>
  </si>
  <si>
    <t>Münze Vincent</t>
  </si>
  <si>
    <t>Redlich Daniel</t>
  </si>
  <si>
    <t>Pieczynski Michel</t>
  </si>
  <si>
    <t>Marzi Nico</t>
  </si>
  <si>
    <t>Below Christoph</t>
  </si>
  <si>
    <t>Hafemeister Tim</t>
  </si>
  <si>
    <t>Antonatus Dennis</t>
  </si>
  <si>
    <t>Helle Götz-Fabian</t>
  </si>
  <si>
    <t>Drange Robert</t>
  </si>
  <si>
    <t>Redlich Danny</t>
  </si>
  <si>
    <t>Orlt Marcel</t>
  </si>
  <si>
    <t>Hollwitz Heiko</t>
  </si>
  <si>
    <t>Marrock Christoph</t>
  </si>
  <si>
    <t>Beige Jochen</t>
  </si>
  <si>
    <t>Wartmann Christian</t>
  </si>
  <si>
    <t>Neuschulz Thomas</t>
  </si>
  <si>
    <t>Lehmann Thorsten</t>
  </si>
  <si>
    <t>Schleusener Bastian</t>
  </si>
  <si>
    <t>Hesse Sabastian</t>
  </si>
  <si>
    <t>Driesener Stefan</t>
  </si>
  <si>
    <t xml:space="preserve">Sprockhoff Patrick </t>
  </si>
  <si>
    <t>Wagner Martin</t>
  </si>
  <si>
    <t>Fiala Christian</t>
  </si>
  <si>
    <t>Wultzsch Martin</t>
  </si>
  <si>
    <t>Bordzio Benjamin</t>
  </si>
  <si>
    <t>Herkt Carsten</t>
  </si>
  <si>
    <t>Fliege Jöran</t>
  </si>
  <si>
    <t>Schramm Joachim</t>
  </si>
  <si>
    <t>Bothmann Daniel</t>
  </si>
  <si>
    <t>Marks Dennis</t>
  </si>
  <si>
    <t>Meiritz Sascha</t>
  </si>
  <si>
    <t>Gröne Marcel</t>
  </si>
  <si>
    <t>Trautwein Markus</t>
  </si>
  <si>
    <t>Müller Daniel</t>
  </si>
  <si>
    <t>Meyer Christian</t>
  </si>
  <si>
    <t>Schimmelpfennig Tobias</t>
  </si>
  <si>
    <t>Marschall Rene</t>
  </si>
  <si>
    <t>Heimbürge Jan</t>
  </si>
  <si>
    <t>Hameling Fabian</t>
  </si>
  <si>
    <t>Lüttke Jefrey</t>
  </si>
  <si>
    <t>Maaß Rene</t>
  </si>
  <si>
    <t>Wieland Benjamin</t>
  </si>
  <si>
    <t>Nowak Michael</t>
  </si>
  <si>
    <t>Kaiser Mario</t>
  </si>
  <si>
    <t>Demski Robin</t>
  </si>
  <si>
    <t>Grünenberg Johannes</t>
  </si>
  <si>
    <t>Schütz Moritz</t>
  </si>
  <si>
    <t>Grau Marco</t>
  </si>
  <si>
    <t>Schellenberg Hannes</t>
  </si>
  <si>
    <t>Guillen Cruz, Ramon</t>
  </si>
  <si>
    <t>Honsel Patrick</t>
  </si>
  <si>
    <t>Johannsen Erik</t>
  </si>
  <si>
    <t>Gesty Josef</t>
  </si>
  <si>
    <t>Büchert Max</t>
  </si>
  <si>
    <t>m B - Jugend</t>
  </si>
  <si>
    <t>Obst Sascha</t>
  </si>
  <si>
    <t>Gutsche Dennis</t>
  </si>
  <si>
    <t>Schulz Harvey-Kevin</t>
  </si>
  <si>
    <t>König Christian</t>
  </si>
  <si>
    <t>Buri Christian</t>
  </si>
  <si>
    <t>Wolfram Dominik</t>
  </si>
  <si>
    <t>Wolsing Björn</t>
  </si>
  <si>
    <t>Puhle Henrik</t>
  </si>
  <si>
    <t>Eulenspiegel</t>
  </si>
  <si>
    <t>Gorski Johannes</t>
  </si>
  <si>
    <t>B1 Schöneiche</t>
  </si>
  <si>
    <t>König Timo</t>
  </si>
  <si>
    <t>Sackel Benjamin</t>
  </si>
  <si>
    <t>Deilitz Jan</t>
  </si>
  <si>
    <t>Knebel Sebastian</t>
  </si>
  <si>
    <t>Bennek Dennis</t>
  </si>
  <si>
    <t>Müller Christian</t>
  </si>
  <si>
    <t>Ziegler Max</t>
  </si>
  <si>
    <t>Wadewitz Toni</t>
  </si>
  <si>
    <t>Neudeck Felix</t>
  </si>
  <si>
    <t>Becker Sebastian</t>
  </si>
  <si>
    <t>Liebing Stephan</t>
  </si>
  <si>
    <t>Funk Pierre</t>
  </si>
  <si>
    <t>Höftmann Timo</t>
  </si>
  <si>
    <t>Perl Robin</t>
  </si>
  <si>
    <t>Helmke Martin</t>
  </si>
  <si>
    <t>Weingärtner Steven</t>
  </si>
  <si>
    <t>Mann Patrick</t>
  </si>
  <si>
    <t>Colditz Steffen</t>
  </si>
  <si>
    <t>Fraundorf Marco</t>
  </si>
  <si>
    <t>Litzba Stefan</t>
  </si>
  <si>
    <t xml:space="preserve">1. NBC </t>
  </si>
  <si>
    <t>Witschonke Tom</t>
  </si>
  <si>
    <t>Bojahr Kevin</t>
  </si>
  <si>
    <t>Hellersdorfer Lions</t>
  </si>
  <si>
    <t>Rössger Felix</t>
  </si>
  <si>
    <t>Bähr Benjamin</t>
  </si>
  <si>
    <t>Sebralla Felix</t>
  </si>
  <si>
    <t>von Sehren  Martin</t>
  </si>
  <si>
    <t>Schrutek Kevin</t>
  </si>
  <si>
    <t>Menaker  Wladlen</t>
  </si>
  <si>
    <t>Galke Sven</t>
  </si>
  <si>
    <t>Hämmerling Stephan</t>
  </si>
  <si>
    <t>Böhme Philip</t>
  </si>
  <si>
    <t>Härtel Daniel</t>
  </si>
  <si>
    <t>Bachner Manuel</t>
  </si>
  <si>
    <t>Krüger Witho</t>
  </si>
  <si>
    <t>Qualitz Michael</t>
  </si>
  <si>
    <t>Arp Niels</t>
  </si>
  <si>
    <t>Hanitzsch Alexander</t>
  </si>
  <si>
    <t>Barufke Tobias</t>
  </si>
  <si>
    <t>Gerresheim Johannes</t>
  </si>
  <si>
    <t>Stange Denny</t>
  </si>
  <si>
    <t>Beug Miguel</t>
  </si>
  <si>
    <t>Münze Adrian</t>
  </si>
  <si>
    <t>Wolff Christian</t>
  </si>
  <si>
    <t>Brock Martin</t>
  </si>
  <si>
    <t>Jasmund Matthi</t>
  </si>
  <si>
    <t>Büchert Paul</t>
  </si>
  <si>
    <t>Krumm Steven</t>
  </si>
  <si>
    <t>Braun Philipp</t>
  </si>
  <si>
    <t>Hamerla Jens</t>
  </si>
  <si>
    <t>Selwert, Alexander</t>
  </si>
  <si>
    <t>Jankowitz Kevin</t>
  </si>
  <si>
    <t>Paulutt Johannes</t>
  </si>
  <si>
    <t>Meiritz Cristian</t>
  </si>
  <si>
    <t>Piotrowski Daniel</t>
  </si>
  <si>
    <t>Ruff Alexander</t>
  </si>
  <si>
    <t>Richter Patrick</t>
  </si>
  <si>
    <t>Schutte Julian</t>
  </si>
  <si>
    <t>Markert Steven</t>
  </si>
  <si>
    <t>König Christoph</t>
  </si>
  <si>
    <t>Katschmann Dennis</t>
  </si>
  <si>
    <t>Papke Philipp</t>
  </si>
  <si>
    <t>Will Sebastian</t>
  </si>
  <si>
    <t>Heinze Macel</t>
  </si>
  <si>
    <t>Eisenhut Rouwen</t>
  </si>
  <si>
    <t>Tobis Enrico</t>
  </si>
  <si>
    <t>Henke Daniel</t>
  </si>
  <si>
    <t>Janowski  Jan</t>
  </si>
  <si>
    <t>Kehl Marcel</t>
  </si>
  <si>
    <t>Bernert Christopher</t>
  </si>
  <si>
    <t>Beier Sven</t>
  </si>
  <si>
    <t>Brandt Timo</t>
  </si>
  <si>
    <t>Leppelt Andreas</t>
  </si>
  <si>
    <t>Janke Robin</t>
  </si>
  <si>
    <t>1.JBC 66</t>
  </si>
  <si>
    <t>Thamm Jason</t>
  </si>
  <si>
    <t>Rodriguez Ron</t>
  </si>
  <si>
    <t>Schumacher Tim</t>
  </si>
  <si>
    <t>Sacer dennis</t>
  </si>
  <si>
    <t>Wewerka Philipp</t>
  </si>
  <si>
    <t>Keller Melik</t>
  </si>
  <si>
    <t>Mühler Nikolas</t>
  </si>
  <si>
    <t>Kirchhof Paul</t>
  </si>
  <si>
    <t>Sprenger Norman</t>
  </si>
  <si>
    <t>Kirsch Emanuel</t>
  </si>
  <si>
    <t>Pahl Felix</t>
  </si>
  <si>
    <t>Welz Florian</t>
  </si>
  <si>
    <t>Lampe Sebastian</t>
  </si>
  <si>
    <t>Walter Peter</t>
  </si>
  <si>
    <t>Karani Arnim</t>
  </si>
  <si>
    <t>Skodzik Fabian</t>
  </si>
  <si>
    <t>Heiligermann Victor</t>
  </si>
  <si>
    <t>Schettler Martin</t>
  </si>
  <si>
    <t>Schümann Patrick</t>
  </si>
  <si>
    <t>Mende Nico</t>
  </si>
  <si>
    <t>König Nico</t>
  </si>
  <si>
    <t>Moldenhauer  Paul</t>
  </si>
  <si>
    <t>Gläsner Alexander</t>
  </si>
  <si>
    <t>Mende Giovanni</t>
  </si>
  <si>
    <t>Gülzow Jose</t>
  </si>
  <si>
    <t>Bartoszynski Robert</t>
  </si>
  <si>
    <t>Bohn Benjamin</t>
  </si>
  <si>
    <t>Nest Alexander</t>
  </si>
  <si>
    <t>Fladerer Pascal</t>
  </si>
  <si>
    <t>Habicht Dennis</t>
  </si>
  <si>
    <t>Brock Dustin</t>
  </si>
  <si>
    <t>Ebert Martin</t>
  </si>
  <si>
    <t>Müters Timo</t>
  </si>
  <si>
    <t>Kruppa Kevin</t>
  </si>
  <si>
    <t>Schütz Felix</t>
  </si>
  <si>
    <t>Reißner Robin</t>
  </si>
  <si>
    <t>Marquardt Dennis</t>
  </si>
  <si>
    <t>Görlich Matthias</t>
  </si>
  <si>
    <t>Tieben Kai</t>
  </si>
  <si>
    <t>Mühler Timo</t>
  </si>
  <si>
    <t>Juniorinnen</t>
  </si>
  <si>
    <t>Lufter Jennifer</t>
  </si>
  <si>
    <t>Brandt Sabrina</t>
  </si>
  <si>
    <t>Weinhardt Melanie</t>
  </si>
  <si>
    <t>Facius Steffi</t>
  </si>
  <si>
    <t>Krüger Svenja</t>
  </si>
  <si>
    <t>Pall Claudia</t>
  </si>
  <si>
    <t>Rega Annette</t>
  </si>
  <si>
    <t>Kallies Julia</t>
  </si>
  <si>
    <t>Pall Stephanie</t>
  </si>
  <si>
    <t>BC Funball 94</t>
  </si>
  <si>
    <t>Dörr Stephanie</t>
  </si>
  <si>
    <t>Gedies Bibiane</t>
  </si>
  <si>
    <t>Maaß Jaqueline</t>
  </si>
  <si>
    <t>Ates Eda</t>
  </si>
  <si>
    <t>Heil Jana</t>
  </si>
  <si>
    <t>BBC Lichtenberg</t>
  </si>
  <si>
    <t>Stiebitz Nancy</t>
  </si>
  <si>
    <t>Kahlfeld Aileen</t>
  </si>
  <si>
    <t>Appenroth Melanie</t>
  </si>
  <si>
    <t>w A -Jugend</t>
  </si>
  <si>
    <t>Schwochow Simone</t>
  </si>
  <si>
    <t>Anklam Jennifer</t>
  </si>
  <si>
    <t>Sommer Cindy</t>
  </si>
  <si>
    <t>Stenzel Patricia</t>
  </si>
  <si>
    <t>Hausknecht Anne</t>
  </si>
  <si>
    <t>Rozek Jennifer</t>
  </si>
  <si>
    <t>Schnurrbusch Juliane</t>
  </si>
  <si>
    <t>Wersing Claudia</t>
  </si>
  <si>
    <t>Schulz Kathleen</t>
  </si>
  <si>
    <t>Merkel Stephanie</t>
  </si>
  <si>
    <t>Wollschläger Sandra</t>
  </si>
  <si>
    <t>Schmidt Jeanette</t>
  </si>
  <si>
    <t>BSRK 1883  Brandenburg</t>
  </si>
  <si>
    <t>Paschke Sabrina</t>
  </si>
  <si>
    <t>Hermann Stefanie</t>
  </si>
  <si>
    <t>Pudwell Jessica</t>
  </si>
  <si>
    <t>Mödebeck Anja</t>
  </si>
  <si>
    <t>Rahn Stefanie</t>
  </si>
  <si>
    <t>Busse Janett</t>
  </si>
  <si>
    <t>Egerland Sandy</t>
  </si>
  <si>
    <t>Schön Bianca</t>
  </si>
  <si>
    <t>Offenhäuser Christiane</t>
  </si>
  <si>
    <t>Sahlmann Sabrina</t>
  </si>
  <si>
    <t>Windelboot Tanja</t>
  </si>
  <si>
    <t>Blankenburg Nicole</t>
  </si>
  <si>
    <t>Jungen Dana</t>
  </si>
  <si>
    <t>Redlich Nadine</t>
  </si>
  <si>
    <t>Schmidt Mandy</t>
  </si>
  <si>
    <t>Team BC Tegel</t>
  </si>
  <si>
    <t>Raabe Stefanie</t>
  </si>
  <si>
    <t>Reiß Janine</t>
  </si>
  <si>
    <t>Dobritz Sandra</t>
  </si>
  <si>
    <t>Blisse Vanessa</t>
  </si>
  <si>
    <t>Kleemann Sylvia</t>
  </si>
  <si>
    <t>Peschel Gina</t>
  </si>
  <si>
    <t>Siefert Vanessa</t>
  </si>
  <si>
    <t>Gayko Aillen</t>
  </si>
  <si>
    <t>Hafermann Jessica</t>
  </si>
  <si>
    <t>Schmee Alexandra</t>
  </si>
  <si>
    <t>Markert Jenny</t>
  </si>
  <si>
    <t>Krause Stephanie</t>
  </si>
  <si>
    <t>Hardtke Stefanie</t>
  </si>
  <si>
    <t>Gesty Katharina</t>
  </si>
  <si>
    <t>Aslan Leyla</t>
  </si>
  <si>
    <t>Müller Maureen</t>
  </si>
  <si>
    <t>w B - Jugend</t>
  </si>
  <si>
    <t>Janke Sandra</t>
  </si>
  <si>
    <t>Wespa Cindy</t>
  </si>
  <si>
    <t>Hulsch Tina</t>
  </si>
  <si>
    <t>Büch Mandy</t>
  </si>
  <si>
    <t>Egerland Nicole</t>
  </si>
  <si>
    <t>Brieger Janine</t>
  </si>
  <si>
    <t>Rigbuth Janin</t>
  </si>
  <si>
    <t>Dillhöfer Maythe</t>
  </si>
  <si>
    <t>Kroll Diana</t>
  </si>
  <si>
    <t>Patzer Sabrina</t>
  </si>
  <si>
    <t>Getzkow Juliana</t>
  </si>
  <si>
    <t>Pertersen Saskia</t>
  </si>
  <si>
    <t>Hamacher Jacqueline</t>
  </si>
  <si>
    <t>Sylvester Christina</t>
  </si>
  <si>
    <t>Ruppelt Pia</t>
  </si>
  <si>
    <t>Knieschewski Yvonne</t>
  </si>
  <si>
    <t>Sojuk Kim Janina</t>
  </si>
  <si>
    <t>Gleichauf Sarah</t>
  </si>
  <si>
    <t>Krause Melanie</t>
  </si>
  <si>
    <t>Lohse Sandra</t>
  </si>
  <si>
    <t>Reiche Veronika</t>
  </si>
  <si>
    <t>Schöpe Julia</t>
  </si>
  <si>
    <t>Erben Stefanie</t>
  </si>
  <si>
    <t>Scheer Tracy</t>
  </si>
  <si>
    <t>Hiller Jennifer</t>
  </si>
  <si>
    <t>Preuss Katharina</t>
  </si>
  <si>
    <t>Wilke Sandra</t>
  </si>
  <si>
    <t>Loos Stephanie</t>
  </si>
  <si>
    <t>Schwertner Jessica</t>
  </si>
  <si>
    <t>Rickel Janett</t>
  </si>
  <si>
    <t>Betzel Cindy</t>
  </si>
  <si>
    <t>Helm Daniela</t>
  </si>
  <si>
    <t>Helm Stefanie</t>
  </si>
  <si>
    <t>Beuthner Laura</t>
  </si>
  <si>
    <t>Schwieder Stefanie</t>
  </si>
  <si>
    <t>Rothe Katja</t>
  </si>
  <si>
    <t>Schibilski Tanja</t>
  </si>
  <si>
    <t>Scheike Elisabeth</t>
  </si>
  <si>
    <t>Jenichen Isabell</t>
  </si>
  <si>
    <t>Koletzki Melina</t>
  </si>
  <si>
    <t>Brieger Jeesica</t>
  </si>
  <si>
    <t>Vatic Jennifer</t>
  </si>
  <si>
    <t>Greinert Belinda</t>
  </si>
  <si>
    <t>Zeßin Daniela</t>
  </si>
  <si>
    <t>Leppelt Roxana</t>
  </si>
  <si>
    <t>Olszewska Natalie</t>
  </si>
  <si>
    <t>Hauffe Linda</t>
  </si>
  <si>
    <t>Böhmfeldt Vivian</t>
  </si>
  <si>
    <t>Stein Nancy</t>
  </si>
  <si>
    <t>Komat Aylin</t>
  </si>
  <si>
    <t>Giebel Linda</t>
  </si>
  <si>
    <t>Wilke Christin</t>
  </si>
  <si>
    <t>Commey Ruby</t>
  </si>
  <si>
    <t>Siwek Caroline</t>
  </si>
  <si>
    <t>Bothmann Janina</t>
  </si>
  <si>
    <t>Rüprich Jennifer</t>
  </si>
  <si>
    <t>Skodzik Melanie</t>
  </si>
  <si>
    <t>Jecht Rose-Lyn</t>
  </si>
  <si>
    <t>Manachotipong Jane</t>
  </si>
  <si>
    <t>Bude Jacqueline</t>
  </si>
  <si>
    <t>Ritter Jessica</t>
  </si>
  <si>
    <t>Karani Nilufer</t>
  </si>
  <si>
    <t>Liberski Victoria</t>
  </si>
  <si>
    <t>Kasten Michelle</t>
  </si>
  <si>
    <t>Fabbri Djamila-Maike</t>
  </si>
  <si>
    <t>Korrekturangaben bei auftretenden Fehlern sind erwünscht !!!</t>
  </si>
  <si>
    <t>Bem.: Bei BRB - Premnitz - Eisenhüttenstadt und Frankfurt/O. sind nur</t>
  </si>
  <si>
    <t>die Berliner Wettbewerbe berücksichtigt !</t>
  </si>
  <si>
    <t>Deutsche Meisterschaften  2002 der Jugend finden statt für die</t>
  </si>
  <si>
    <t>A - Jugend</t>
  </si>
  <si>
    <t>30.10. - 3.11.2002</t>
  </si>
  <si>
    <t>in  H I L D E S H E I M</t>
  </si>
  <si>
    <t>B-Jugend</t>
  </si>
  <si>
    <t>3.10. - 6.10.2002</t>
  </si>
  <si>
    <t>in  M A N N H E I 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</si>
</sst>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2">
    <font>
      <sz val="10"/>
      <name val="Arial"/>
      <family val="0"/>
    </font>
    <font>
      <b/>
      <sz val="11"/>
      <name val="Arial"/>
      <family val="0"/>
    </font>
    <font>
      <sz val="11"/>
      <name val="Times New Roman"/>
      <family val="1"/>
    </font>
    <font>
      <b/>
      <sz val="24"/>
      <name val="Lithograph"/>
      <family val="0"/>
    </font>
    <font>
      <sz val="18"/>
      <name val="Times New Roman"/>
      <family val="1"/>
    </font>
    <font>
      <b/>
      <sz val="11"/>
      <name val="Times New Roman"/>
      <family val="0"/>
    </font>
    <font>
      <sz val="11"/>
      <color indexed="9"/>
      <name val="Times New Roman"/>
      <family val="1"/>
    </font>
    <font>
      <b/>
      <u val="single"/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3" borderId="0" xfId="0" applyFont="1" applyFill="1" applyBorder="1" applyAlignment="1">
      <alignment/>
    </xf>
    <xf numFmtId="172" fontId="2" fillId="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10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72" fontId="4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172" fontId="4" fillId="2" borderId="9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0" fillId="0" borderId="4" xfId="0" applyBorder="1" applyAlignment="1">
      <alignment/>
    </xf>
    <xf numFmtId="0" fontId="11" fillId="0" borderId="5" xfId="0" applyFont="1" applyBorder="1" applyAlignment="1">
      <alignment/>
    </xf>
    <xf numFmtId="0" fontId="0" fillId="0" borderId="6" xfId="0" applyBorder="1" applyAlignment="1">
      <alignment/>
    </xf>
    <xf numFmtId="0" fontId="11" fillId="0" borderId="7" xfId="0" applyFont="1" applyBorder="1" applyAlignment="1">
      <alignment/>
    </xf>
    <xf numFmtId="0" fontId="10" fillId="0" borderId="8" xfId="0" applyFont="1" applyBorder="1" applyAlignment="1">
      <alignment/>
    </xf>
    <xf numFmtId="172" fontId="1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172" fontId="2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workbookViewId="0" topLeftCell="A13">
      <selection activeCell="H478" sqref="H478"/>
    </sheetView>
  </sheetViews>
  <sheetFormatPr defaultColWidth="11.421875" defaultRowHeight="12.75"/>
  <cols>
    <col min="1" max="1" width="6.00390625" style="0" customWidth="1"/>
    <col min="2" max="2" width="27.7109375" style="0" customWidth="1"/>
    <col min="4" max="4" width="24.28125" style="0" customWidth="1"/>
    <col min="5" max="5" width="6.00390625" style="0" customWidth="1"/>
    <col min="6" max="7" width="6.7109375" style="0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30">
      <c r="A2" s="18" t="s">
        <v>0</v>
      </c>
      <c r="B2" s="19"/>
      <c r="C2" s="19"/>
      <c r="D2" s="19"/>
      <c r="E2" s="19"/>
      <c r="F2" s="19"/>
      <c r="G2" s="20"/>
    </row>
    <row r="3" spans="1:7" ht="23.25">
      <c r="A3" s="21" t="s">
        <v>1</v>
      </c>
      <c r="B3" s="4"/>
      <c r="C3" s="4"/>
      <c r="D3" s="4"/>
      <c r="E3" s="4"/>
      <c r="F3" s="4"/>
      <c r="G3" s="22"/>
    </row>
    <row r="4" spans="1:7" ht="23.25">
      <c r="A4" s="21"/>
      <c r="B4" s="4"/>
      <c r="C4" s="4"/>
      <c r="D4" s="4"/>
      <c r="E4" s="4"/>
      <c r="F4" s="4"/>
      <c r="G4" s="22"/>
    </row>
    <row r="5" spans="1:7" ht="23.25">
      <c r="A5" s="23"/>
      <c r="B5" s="24"/>
      <c r="C5" s="24"/>
      <c r="D5" s="24"/>
      <c r="E5" s="24"/>
      <c r="F5" s="24"/>
      <c r="G5" s="25"/>
    </row>
    <row r="6" spans="1:7" ht="15">
      <c r="A6" s="5"/>
      <c r="B6" s="2"/>
      <c r="C6" s="2"/>
      <c r="D6" s="6"/>
      <c r="E6" s="7"/>
      <c r="F6" s="7"/>
      <c r="G6" s="8"/>
    </row>
    <row r="7" spans="1:7" ht="15">
      <c r="A7" s="5"/>
      <c r="B7" s="2"/>
      <c r="C7" s="2"/>
      <c r="D7" s="2"/>
      <c r="E7" s="2"/>
      <c r="F7" s="2"/>
      <c r="G7" s="3"/>
    </row>
    <row r="8" spans="1:7" ht="14.25">
      <c r="A8" s="5"/>
      <c r="B8" s="9" t="s">
        <v>2</v>
      </c>
      <c r="C8" s="9" t="s">
        <v>3</v>
      </c>
      <c r="D8" s="9" t="s">
        <v>4</v>
      </c>
      <c r="E8" s="9"/>
      <c r="F8" s="9"/>
      <c r="G8" s="10" t="s">
        <v>5</v>
      </c>
    </row>
    <row r="9" spans="1:7" ht="15.75" thickBot="1">
      <c r="A9" s="5"/>
      <c r="B9" s="2"/>
      <c r="C9" s="2"/>
      <c r="D9" s="2"/>
      <c r="E9" s="2"/>
      <c r="F9" s="2"/>
      <c r="G9" s="3"/>
    </row>
    <row r="10" spans="1:7" ht="21" thickBot="1">
      <c r="A10" s="1"/>
      <c r="B10" s="11" t="s">
        <v>6</v>
      </c>
      <c r="C10" s="2"/>
      <c r="D10" s="2"/>
      <c r="E10" s="2"/>
      <c r="F10" s="2"/>
      <c r="G10" s="2"/>
    </row>
    <row r="11" spans="1:7" ht="15">
      <c r="A11" s="1"/>
      <c r="B11" s="2"/>
      <c r="C11" s="2"/>
      <c r="D11" s="2"/>
      <c r="E11" s="2"/>
      <c r="F11" s="2"/>
      <c r="G11" s="2"/>
    </row>
    <row r="12" spans="1:7" ht="15">
      <c r="A12" s="1"/>
      <c r="B12" s="2"/>
      <c r="C12" s="2"/>
      <c r="D12" s="2"/>
      <c r="E12" s="2"/>
      <c r="F12" s="2"/>
      <c r="G12" s="3"/>
    </row>
    <row r="13" spans="1:7" ht="15">
      <c r="A13" s="1">
        <v>1</v>
      </c>
      <c r="B13" s="2" t="s">
        <v>7</v>
      </c>
      <c r="C13" s="2">
        <v>1980</v>
      </c>
      <c r="D13" s="2" t="s">
        <v>8</v>
      </c>
      <c r="E13" s="2">
        <f>16</f>
        <v>16</v>
      </c>
      <c r="F13" s="2">
        <f>3306</f>
        <v>3306</v>
      </c>
      <c r="G13" s="3">
        <f aca="true" t="shared" si="0" ref="G13:G24">F13/E13</f>
        <v>206.625</v>
      </c>
    </row>
    <row r="14" spans="1:7" ht="15">
      <c r="A14" s="1">
        <v>2</v>
      </c>
      <c r="B14" s="2" t="s">
        <v>9</v>
      </c>
      <c r="C14" s="2">
        <v>1980</v>
      </c>
      <c r="D14" s="2" t="s">
        <v>10</v>
      </c>
      <c r="E14" s="2">
        <f>16</f>
        <v>16</v>
      </c>
      <c r="F14" s="2">
        <f>3165</f>
        <v>3165</v>
      </c>
      <c r="G14" s="3">
        <f t="shared" si="0"/>
        <v>197.8125</v>
      </c>
    </row>
    <row r="15" spans="1:7" ht="15">
      <c r="A15" s="1">
        <v>3</v>
      </c>
      <c r="B15" s="2" t="s">
        <v>11</v>
      </c>
      <c r="C15" s="2">
        <v>1983</v>
      </c>
      <c r="D15" s="2" t="s">
        <v>12</v>
      </c>
      <c r="E15" s="2">
        <f>16</f>
        <v>16</v>
      </c>
      <c r="F15" s="2">
        <f>3071</f>
        <v>3071</v>
      </c>
      <c r="G15" s="3">
        <f t="shared" si="0"/>
        <v>191.9375</v>
      </c>
    </row>
    <row r="16" spans="1:7" ht="15">
      <c r="A16" s="1">
        <v>4</v>
      </c>
      <c r="B16" s="2" t="s">
        <v>13</v>
      </c>
      <c r="C16" s="2">
        <v>1981</v>
      </c>
      <c r="D16" s="2" t="s">
        <v>10</v>
      </c>
      <c r="E16" s="2">
        <f>16</f>
        <v>16</v>
      </c>
      <c r="F16" s="2">
        <f>2962</f>
        <v>2962</v>
      </c>
      <c r="G16" s="3">
        <f t="shared" si="0"/>
        <v>185.125</v>
      </c>
    </row>
    <row r="17" spans="1:7" ht="15">
      <c r="A17" s="1">
        <v>5</v>
      </c>
      <c r="B17" s="2" t="s">
        <v>14</v>
      </c>
      <c r="C17" s="2">
        <v>1983</v>
      </c>
      <c r="D17" s="2" t="s">
        <v>10</v>
      </c>
      <c r="E17" s="2">
        <f>6+16</f>
        <v>22</v>
      </c>
      <c r="F17" s="2">
        <f>1103+2925</f>
        <v>4028</v>
      </c>
      <c r="G17" s="3">
        <f t="shared" si="0"/>
        <v>183.0909090909091</v>
      </c>
    </row>
    <row r="18" spans="1:7" ht="15">
      <c r="A18" s="1">
        <v>6</v>
      </c>
      <c r="B18" s="2" t="s">
        <v>15</v>
      </c>
      <c r="C18" s="2">
        <v>1983</v>
      </c>
      <c r="D18" s="2" t="s">
        <v>16</v>
      </c>
      <c r="E18" s="2">
        <f>16</f>
        <v>16</v>
      </c>
      <c r="F18" s="2">
        <f>2865</f>
        <v>2865</v>
      </c>
      <c r="G18" s="3">
        <f t="shared" si="0"/>
        <v>179.0625</v>
      </c>
    </row>
    <row r="19" spans="1:7" ht="15">
      <c r="A19" s="1">
        <v>7</v>
      </c>
      <c r="B19" s="2" t="s">
        <v>17</v>
      </c>
      <c r="C19" s="2">
        <v>1981</v>
      </c>
      <c r="D19" s="2" t="s">
        <v>16</v>
      </c>
      <c r="E19" s="2">
        <f>6+16</f>
        <v>22</v>
      </c>
      <c r="F19" s="2">
        <f>1034+664+1106+1121</f>
        <v>3925</v>
      </c>
      <c r="G19" s="3">
        <f t="shared" si="0"/>
        <v>178.4090909090909</v>
      </c>
    </row>
    <row r="20" spans="1:7" ht="15">
      <c r="A20" s="1">
        <v>8</v>
      </c>
      <c r="B20" s="2" t="s">
        <v>18</v>
      </c>
      <c r="C20" s="2">
        <v>1982</v>
      </c>
      <c r="D20" s="2" t="s">
        <v>8</v>
      </c>
      <c r="E20" s="2">
        <f>16</f>
        <v>16</v>
      </c>
      <c r="F20" s="2">
        <f>2844</f>
        <v>2844</v>
      </c>
      <c r="G20" s="3">
        <f t="shared" si="0"/>
        <v>177.75</v>
      </c>
    </row>
    <row r="21" spans="1:7" ht="15">
      <c r="A21" s="1">
        <v>9</v>
      </c>
      <c r="B21" s="2" t="s">
        <v>19</v>
      </c>
      <c r="C21" s="2">
        <v>1983</v>
      </c>
      <c r="D21" s="2" t="s">
        <v>16</v>
      </c>
      <c r="E21" s="2">
        <f>4</f>
        <v>4</v>
      </c>
      <c r="F21" s="2">
        <f>674</f>
        <v>674</v>
      </c>
      <c r="G21" s="3">
        <f t="shared" si="0"/>
        <v>168.5</v>
      </c>
    </row>
    <row r="22" spans="1:7" ht="15">
      <c r="A22" s="1">
        <v>10</v>
      </c>
      <c r="B22" s="2" t="s">
        <v>20</v>
      </c>
      <c r="C22" s="2">
        <v>1983</v>
      </c>
      <c r="D22" s="2" t="s">
        <v>21</v>
      </c>
      <c r="E22" s="2">
        <f>20+16</f>
        <v>36</v>
      </c>
      <c r="F22" s="2">
        <f>741+546+670+558+718+661+949+1092</f>
        <v>5935</v>
      </c>
      <c r="G22" s="3">
        <f t="shared" si="0"/>
        <v>164.86111111111111</v>
      </c>
    </row>
    <row r="23" spans="1:7" ht="15">
      <c r="A23" s="1">
        <v>11</v>
      </c>
      <c r="B23" s="2" t="s">
        <v>22</v>
      </c>
      <c r="C23" s="2">
        <v>1983</v>
      </c>
      <c r="D23" s="2" t="s">
        <v>12</v>
      </c>
      <c r="E23" s="2">
        <f>16</f>
        <v>16</v>
      </c>
      <c r="F23" s="2">
        <f>2632</f>
        <v>2632</v>
      </c>
      <c r="G23" s="3">
        <f t="shared" si="0"/>
        <v>164.5</v>
      </c>
    </row>
    <row r="24" spans="1:7" ht="15">
      <c r="A24" s="1">
        <v>12</v>
      </c>
      <c r="B24" s="2" t="s">
        <v>23</v>
      </c>
      <c r="C24" s="2">
        <v>1983</v>
      </c>
      <c r="D24" s="2" t="s">
        <v>16</v>
      </c>
      <c r="E24" s="2">
        <f>16</f>
        <v>16</v>
      </c>
      <c r="F24" s="2">
        <f>612+960+968</f>
        <v>2540</v>
      </c>
      <c r="G24" s="3">
        <f t="shared" si="0"/>
        <v>158.75</v>
      </c>
    </row>
    <row r="25" spans="1:7" ht="15">
      <c r="A25" s="1">
        <v>13</v>
      </c>
      <c r="B25" s="2" t="s">
        <v>24</v>
      </c>
      <c r="C25" s="2">
        <v>1980</v>
      </c>
      <c r="D25" s="2" t="s">
        <v>25</v>
      </c>
      <c r="E25" s="2"/>
      <c r="F25" s="2"/>
      <c r="G25" s="3">
        <v>0</v>
      </c>
    </row>
    <row r="26" spans="1:7" ht="15">
      <c r="A26" s="1">
        <v>14</v>
      </c>
      <c r="B26" s="2" t="s">
        <v>26</v>
      </c>
      <c r="C26" s="2">
        <v>1979</v>
      </c>
      <c r="D26" s="2" t="s">
        <v>25</v>
      </c>
      <c r="E26" s="2"/>
      <c r="F26" s="2"/>
      <c r="G26" s="3">
        <v>0</v>
      </c>
    </row>
    <row r="27" spans="1:7" ht="15">
      <c r="A27" s="1">
        <v>15</v>
      </c>
      <c r="B27" s="2" t="s">
        <v>27</v>
      </c>
      <c r="C27" s="2">
        <v>1980</v>
      </c>
      <c r="D27" s="2" t="s">
        <v>25</v>
      </c>
      <c r="E27" s="2"/>
      <c r="F27" s="2"/>
      <c r="G27" s="3">
        <v>0</v>
      </c>
    </row>
    <row r="28" spans="1:7" ht="15">
      <c r="A28" s="1">
        <v>16</v>
      </c>
      <c r="B28" s="2" t="s">
        <v>28</v>
      </c>
      <c r="C28" s="2">
        <v>1981</v>
      </c>
      <c r="D28" s="2" t="s">
        <v>25</v>
      </c>
      <c r="E28" s="2"/>
      <c r="F28" s="2"/>
      <c r="G28" s="3">
        <v>0</v>
      </c>
    </row>
    <row r="29" spans="1:7" ht="15">
      <c r="A29" s="1">
        <v>17</v>
      </c>
      <c r="B29" s="2" t="s">
        <v>29</v>
      </c>
      <c r="C29" s="2">
        <v>1983</v>
      </c>
      <c r="D29" s="2" t="s">
        <v>25</v>
      </c>
      <c r="E29" s="2"/>
      <c r="F29" s="2"/>
      <c r="G29" s="3">
        <v>0</v>
      </c>
    </row>
    <row r="30" spans="1:7" ht="15">
      <c r="A30" s="1">
        <v>18</v>
      </c>
      <c r="B30" s="2" t="s">
        <v>30</v>
      </c>
      <c r="C30" s="2">
        <v>1983</v>
      </c>
      <c r="D30" s="2" t="s">
        <v>25</v>
      </c>
      <c r="E30" s="2"/>
      <c r="F30" s="2"/>
      <c r="G30" s="3">
        <v>0</v>
      </c>
    </row>
    <row r="31" spans="1:7" ht="15">
      <c r="A31" s="1">
        <v>19</v>
      </c>
      <c r="B31" s="2" t="s">
        <v>31</v>
      </c>
      <c r="C31" s="2">
        <v>1983</v>
      </c>
      <c r="D31" s="2" t="s">
        <v>25</v>
      </c>
      <c r="E31" s="2"/>
      <c r="F31" s="2"/>
      <c r="G31" s="3">
        <v>0</v>
      </c>
    </row>
    <row r="32" spans="1:7" ht="15">
      <c r="A32" s="1">
        <v>20</v>
      </c>
      <c r="B32" s="2" t="s">
        <v>32</v>
      </c>
      <c r="C32" s="2">
        <v>1980</v>
      </c>
      <c r="D32" s="2" t="s">
        <v>33</v>
      </c>
      <c r="E32" s="2"/>
      <c r="F32" s="2"/>
      <c r="G32" s="3">
        <v>0</v>
      </c>
    </row>
    <row r="33" spans="1:7" ht="15">
      <c r="A33" s="1">
        <v>21</v>
      </c>
      <c r="B33" s="2" t="s">
        <v>34</v>
      </c>
      <c r="C33" s="2">
        <v>1983</v>
      </c>
      <c r="D33" s="2" t="s">
        <v>33</v>
      </c>
      <c r="E33" s="2"/>
      <c r="F33" s="2"/>
      <c r="G33" s="3">
        <v>0</v>
      </c>
    </row>
    <row r="34" spans="1:7" ht="15">
      <c r="A34" s="1">
        <v>22</v>
      </c>
      <c r="B34" s="2" t="s">
        <v>35</v>
      </c>
      <c r="C34" s="2">
        <v>1981</v>
      </c>
      <c r="D34" s="2" t="s">
        <v>36</v>
      </c>
      <c r="E34" s="2"/>
      <c r="F34" s="2"/>
      <c r="G34" s="3">
        <v>0</v>
      </c>
    </row>
    <row r="35" spans="1:7" ht="15">
      <c r="A35" s="1">
        <v>23</v>
      </c>
      <c r="B35" s="2" t="s">
        <v>37</v>
      </c>
      <c r="C35" s="2">
        <v>1982</v>
      </c>
      <c r="D35" s="2" t="s">
        <v>36</v>
      </c>
      <c r="E35" s="2"/>
      <c r="F35" s="2"/>
      <c r="G35" s="3">
        <v>0</v>
      </c>
    </row>
    <row r="36" spans="1:7" ht="15">
      <c r="A36" s="1">
        <v>24</v>
      </c>
      <c r="B36" s="2" t="s">
        <v>38</v>
      </c>
      <c r="C36" s="2">
        <v>1982</v>
      </c>
      <c r="D36" s="2" t="s">
        <v>39</v>
      </c>
      <c r="E36" s="2"/>
      <c r="F36" s="2"/>
      <c r="G36" s="3">
        <v>0</v>
      </c>
    </row>
    <row r="37" spans="1:7" ht="15">
      <c r="A37" s="1">
        <v>25</v>
      </c>
      <c r="B37" s="2" t="s">
        <v>40</v>
      </c>
      <c r="C37" s="2">
        <v>1983</v>
      </c>
      <c r="D37" s="2" t="s">
        <v>41</v>
      </c>
      <c r="E37" s="2"/>
      <c r="F37" s="2"/>
      <c r="G37" s="3">
        <v>0</v>
      </c>
    </row>
    <row r="38" spans="1:7" ht="15">
      <c r="A38" s="1">
        <v>26</v>
      </c>
      <c r="B38" s="2" t="s">
        <v>42</v>
      </c>
      <c r="C38" s="2">
        <v>1978</v>
      </c>
      <c r="D38" s="2" t="s">
        <v>8</v>
      </c>
      <c r="E38" s="2"/>
      <c r="F38" s="2"/>
      <c r="G38" s="3">
        <v>0</v>
      </c>
    </row>
    <row r="39" spans="1:7" ht="15">
      <c r="A39" s="1">
        <v>27</v>
      </c>
      <c r="B39" s="2" t="s">
        <v>43</v>
      </c>
      <c r="C39" s="2">
        <v>1978</v>
      </c>
      <c r="D39" s="2" t="s">
        <v>8</v>
      </c>
      <c r="E39" s="2"/>
      <c r="F39" s="2"/>
      <c r="G39" s="3">
        <v>0</v>
      </c>
    </row>
    <row r="40" spans="1:7" ht="15">
      <c r="A40" s="1">
        <v>28</v>
      </c>
      <c r="B40" s="2" t="s">
        <v>44</v>
      </c>
      <c r="C40" s="2">
        <v>1983</v>
      </c>
      <c r="D40" s="2" t="s">
        <v>8</v>
      </c>
      <c r="E40" s="2"/>
      <c r="F40" s="2"/>
      <c r="G40" s="3">
        <v>0</v>
      </c>
    </row>
    <row r="41" spans="1:7" ht="15">
      <c r="A41" s="1">
        <v>29</v>
      </c>
      <c r="B41" s="2" t="s">
        <v>45</v>
      </c>
      <c r="C41" s="2">
        <v>1982</v>
      </c>
      <c r="D41" s="2" t="s">
        <v>12</v>
      </c>
      <c r="E41" s="2"/>
      <c r="F41" s="2"/>
      <c r="G41" s="3">
        <v>0</v>
      </c>
    </row>
    <row r="42" spans="1:7" ht="15">
      <c r="A42" s="43">
        <v>30</v>
      </c>
      <c r="B42" s="41" t="s">
        <v>46</v>
      </c>
      <c r="C42" s="41">
        <v>1983</v>
      </c>
      <c r="D42" s="41" t="s">
        <v>47</v>
      </c>
      <c r="E42" s="41"/>
      <c r="F42" s="41"/>
      <c r="G42" s="42">
        <v>0</v>
      </c>
    </row>
    <row r="43" spans="1:7" ht="15">
      <c r="A43" s="43">
        <v>31</v>
      </c>
      <c r="B43" s="41" t="s">
        <v>48</v>
      </c>
      <c r="C43" s="41">
        <v>1982</v>
      </c>
      <c r="D43" s="41" t="s">
        <v>47</v>
      </c>
      <c r="E43" s="41"/>
      <c r="F43" s="41"/>
      <c r="G43" s="42">
        <v>0</v>
      </c>
    </row>
    <row r="44" spans="1:7" ht="15">
      <c r="A44" s="1">
        <v>32</v>
      </c>
      <c r="B44" s="2" t="s">
        <v>49</v>
      </c>
      <c r="C44" s="2">
        <v>1981</v>
      </c>
      <c r="D44" s="2" t="s">
        <v>50</v>
      </c>
      <c r="E44" s="2"/>
      <c r="F44" s="2"/>
      <c r="G44" s="3">
        <v>0</v>
      </c>
    </row>
    <row r="45" spans="1:7" ht="15">
      <c r="A45" s="1">
        <v>33</v>
      </c>
      <c r="B45" s="2" t="s">
        <v>51</v>
      </c>
      <c r="C45" s="2">
        <v>1983</v>
      </c>
      <c r="D45" s="2" t="s">
        <v>52</v>
      </c>
      <c r="E45" s="2"/>
      <c r="F45" s="2"/>
      <c r="G45" s="3">
        <v>0</v>
      </c>
    </row>
    <row r="46" spans="1:7" ht="15">
      <c r="A46" s="1">
        <v>34</v>
      </c>
      <c r="B46" s="2" t="s">
        <v>53</v>
      </c>
      <c r="C46" s="2">
        <v>1983</v>
      </c>
      <c r="D46" s="2" t="s">
        <v>52</v>
      </c>
      <c r="E46" s="2"/>
      <c r="F46" s="2"/>
      <c r="G46" s="3">
        <v>0</v>
      </c>
    </row>
    <row r="47" spans="1:7" ht="15">
      <c r="A47" s="1">
        <v>35</v>
      </c>
      <c r="B47" s="2" t="s">
        <v>54</v>
      </c>
      <c r="C47" s="2">
        <v>1983</v>
      </c>
      <c r="D47" s="2" t="s">
        <v>16</v>
      </c>
      <c r="E47" s="2"/>
      <c r="F47" s="2"/>
      <c r="G47" s="3">
        <v>0</v>
      </c>
    </row>
    <row r="48" spans="1:7" ht="15">
      <c r="A48" s="1">
        <v>36</v>
      </c>
      <c r="B48" s="2" t="s">
        <v>55</v>
      </c>
      <c r="C48" s="2">
        <v>1983</v>
      </c>
      <c r="D48" s="2" t="s">
        <v>56</v>
      </c>
      <c r="E48" s="2"/>
      <c r="F48" s="2"/>
      <c r="G48" s="3">
        <v>0</v>
      </c>
    </row>
    <row r="49" spans="1:7" ht="15">
      <c r="A49" s="1">
        <v>37</v>
      </c>
      <c r="B49" s="2" t="s">
        <v>57</v>
      </c>
      <c r="C49" s="2">
        <v>1981</v>
      </c>
      <c r="D49" s="2" t="s">
        <v>58</v>
      </c>
      <c r="E49" s="2"/>
      <c r="F49" s="2"/>
      <c r="G49" s="3">
        <v>0</v>
      </c>
    </row>
    <row r="50" spans="1:7" ht="15">
      <c r="A50" s="1">
        <v>38</v>
      </c>
      <c r="B50" s="2" t="s">
        <v>59</v>
      </c>
      <c r="C50" s="2">
        <v>1981</v>
      </c>
      <c r="D50" s="2" t="s">
        <v>10</v>
      </c>
      <c r="E50" s="2"/>
      <c r="F50" s="2"/>
      <c r="G50" s="3">
        <v>0</v>
      </c>
    </row>
    <row r="51" spans="1:7" ht="15">
      <c r="A51" s="1"/>
      <c r="B51" s="2"/>
      <c r="C51" s="2"/>
      <c r="D51" s="2"/>
      <c r="E51" s="2"/>
      <c r="F51" s="2"/>
      <c r="G51" s="2"/>
    </row>
    <row r="52" spans="1:7" ht="15">
      <c r="A52" s="1"/>
      <c r="B52" s="2"/>
      <c r="C52" s="2"/>
      <c r="D52" s="2"/>
      <c r="E52" s="2"/>
      <c r="F52" s="2"/>
      <c r="G52" s="3"/>
    </row>
    <row r="53" spans="1:7" ht="15">
      <c r="A53" s="1"/>
      <c r="B53" s="2"/>
      <c r="C53" s="2"/>
      <c r="D53" s="2"/>
      <c r="E53" s="2"/>
      <c r="F53" s="2"/>
      <c r="G53" s="3"/>
    </row>
    <row r="54" spans="1:7" ht="15">
      <c r="A54" s="1"/>
      <c r="B54" s="2"/>
      <c r="C54" s="2"/>
      <c r="D54" s="2"/>
      <c r="E54" s="2"/>
      <c r="F54" s="2"/>
      <c r="G54" s="3"/>
    </row>
    <row r="55" spans="1:7" ht="15.75" thickBot="1">
      <c r="A55" s="1"/>
      <c r="B55" s="2"/>
      <c r="C55" s="2"/>
      <c r="D55" s="2"/>
      <c r="E55" s="2"/>
      <c r="F55" s="2"/>
      <c r="G55" s="2"/>
    </row>
    <row r="56" spans="1:7" ht="21" thickBot="1">
      <c r="A56" s="1"/>
      <c r="B56" s="11" t="s">
        <v>60</v>
      </c>
      <c r="C56" s="2"/>
      <c r="D56" s="2"/>
      <c r="E56" s="2"/>
      <c r="F56" s="2"/>
      <c r="G56" s="2"/>
    </row>
    <row r="57" spans="1:7" ht="15">
      <c r="A57" s="1"/>
      <c r="B57" s="2"/>
      <c r="C57" s="2"/>
      <c r="D57" s="2"/>
      <c r="E57" s="2"/>
      <c r="F57" s="2"/>
      <c r="G57" s="2"/>
    </row>
    <row r="58" spans="1:7" ht="15">
      <c r="A58" s="1"/>
      <c r="B58" s="2"/>
      <c r="C58" s="2"/>
      <c r="D58" s="2"/>
      <c r="E58" s="2"/>
      <c r="F58" s="2"/>
      <c r="G58" s="2"/>
    </row>
    <row r="59" spans="1:7" ht="15">
      <c r="A59" s="1">
        <f aca="true" t="shared" si="1" ref="A59:A122">A58+1</f>
        <v>1</v>
      </c>
      <c r="B59" s="2" t="s">
        <v>61</v>
      </c>
      <c r="C59" s="2">
        <v>1987</v>
      </c>
      <c r="D59" s="2" t="s">
        <v>62</v>
      </c>
      <c r="E59" s="2">
        <f>27</f>
        <v>27</v>
      </c>
      <c r="F59" s="2">
        <f>5227</f>
        <v>5227</v>
      </c>
      <c r="G59" s="3">
        <f aca="true" t="shared" si="2" ref="G59:G121">F59/E59</f>
        <v>193.59259259259258</v>
      </c>
    </row>
    <row r="60" spans="1:7" ht="15">
      <c r="A60" s="1">
        <f t="shared" si="1"/>
        <v>2</v>
      </c>
      <c r="B60" s="2" t="s">
        <v>63</v>
      </c>
      <c r="C60" s="2">
        <v>1984</v>
      </c>
      <c r="D60" s="2" t="s">
        <v>64</v>
      </c>
      <c r="E60" s="2">
        <f>24+3+14</f>
        <v>41</v>
      </c>
      <c r="F60" s="2">
        <f>584+836+816+633+701+843+645+724+713+1238</f>
        <v>7733</v>
      </c>
      <c r="G60" s="3">
        <f t="shared" si="2"/>
        <v>188.609756097561</v>
      </c>
    </row>
    <row r="61" spans="1:7" ht="15">
      <c r="A61" s="1">
        <f t="shared" si="1"/>
        <v>3</v>
      </c>
      <c r="B61" s="2" t="s">
        <v>65</v>
      </c>
      <c r="C61" s="2">
        <v>1985</v>
      </c>
      <c r="D61" s="2" t="s">
        <v>25</v>
      </c>
      <c r="E61" s="2">
        <f>24+3+14</f>
        <v>41</v>
      </c>
      <c r="F61" s="2">
        <f>701+712+789+667+755+772+532+2778</f>
        <v>7706</v>
      </c>
      <c r="G61" s="3">
        <f t="shared" si="2"/>
        <v>187.9512195121951</v>
      </c>
    </row>
    <row r="62" spans="1:7" ht="15">
      <c r="A62" s="1">
        <f t="shared" si="1"/>
        <v>4</v>
      </c>
      <c r="B62" s="2" t="s">
        <v>66</v>
      </c>
      <c r="C62" s="2">
        <v>1984</v>
      </c>
      <c r="D62" s="2" t="s">
        <v>10</v>
      </c>
      <c r="E62" s="2">
        <f>23+9+3+7</f>
        <v>42</v>
      </c>
      <c r="F62" s="2">
        <f>604+628+718+830+788+623+1688+611+719+533</f>
        <v>7742</v>
      </c>
      <c r="G62" s="3">
        <f t="shared" si="2"/>
        <v>184.33333333333334</v>
      </c>
    </row>
    <row r="63" spans="1:7" ht="15">
      <c r="A63" s="1">
        <f t="shared" si="1"/>
        <v>5</v>
      </c>
      <c r="B63" s="2" t="s">
        <v>67</v>
      </c>
      <c r="C63" s="2">
        <v>1987</v>
      </c>
      <c r="D63" s="2" t="s">
        <v>36</v>
      </c>
      <c r="E63" s="2">
        <f>23+9+3+14</f>
        <v>49</v>
      </c>
      <c r="F63" s="2">
        <f>728+707+482+781+617+727+1709+679+718+744+1120</f>
        <v>9012</v>
      </c>
      <c r="G63" s="3">
        <f t="shared" si="2"/>
        <v>183.91836734693877</v>
      </c>
    </row>
    <row r="64" spans="1:7" ht="15">
      <c r="A64" s="1">
        <f t="shared" si="1"/>
        <v>6</v>
      </c>
      <c r="B64" s="2" t="s">
        <v>68</v>
      </c>
      <c r="C64" s="2">
        <v>1987</v>
      </c>
      <c r="D64" s="2" t="s">
        <v>62</v>
      </c>
      <c r="E64" s="2">
        <f>21</f>
        <v>21</v>
      </c>
      <c r="F64" s="2">
        <f>3851</f>
        <v>3851</v>
      </c>
      <c r="G64" s="3">
        <f t="shared" si="2"/>
        <v>183.38095238095238</v>
      </c>
    </row>
    <row r="65" spans="1:7" ht="15">
      <c r="A65" s="1">
        <f t="shared" si="1"/>
        <v>7</v>
      </c>
      <c r="B65" s="2" t="s">
        <v>69</v>
      </c>
      <c r="C65" s="2">
        <v>1985</v>
      </c>
      <c r="D65" s="2" t="s">
        <v>64</v>
      </c>
      <c r="E65" s="2">
        <f>24+9+3+14</f>
        <v>50</v>
      </c>
      <c r="F65" s="2">
        <f>588+708+733+615+702+831+1793+522+645+741+1243</f>
        <v>9121</v>
      </c>
      <c r="G65" s="3">
        <f t="shared" si="2"/>
        <v>182.42</v>
      </c>
    </row>
    <row r="66" spans="1:7" ht="15">
      <c r="A66" s="1">
        <f t="shared" si="1"/>
        <v>8</v>
      </c>
      <c r="B66" s="2" t="s">
        <v>70</v>
      </c>
      <c r="C66" s="2">
        <v>1986</v>
      </c>
      <c r="D66" s="2" t="s">
        <v>36</v>
      </c>
      <c r="E66" s="2">
        <f>11+9+2+14</f>
        <v>36</v>
      </c>
      <c r="F66" s="2">
        <f>568+325+272+278+400+1690+312+672+781+1258</f>
        <v>6556</v>
      </c>
      <c r="G66" s="3">
        <f t="shared" si="2"/>
        <v>182.11111111111111</v>
      </c>
    </row>
    <row r="67" spans="1:7" ht="15">
      <c r="A67" s="1">
        <f t="shared" si="1"/>
        <v>9</v>
      </c>
      <c r="B67" s="2" t="s">
        <v>71</v>
      </c>
      <c r="C67" s="2">
        <v>1985</v>
      </c>
      <c r="D67" s="2" t="s">
        <v>25</v>
      </c>
      <c r="E67" s="2">
        <f>22+6+3+14</f>
        <v>45</v>
      </c>
      <c r="F67" s="2">
        <f>492+719+760+649+751+518+1077+532+743+743+1191</f>
        <v>8175</v>
      </c>
      <c r="G67" s="3">
        <f t="shared" si="2"/>
        <v>181.66666666666666</v>
      </c>
    </row>
    <row r="68" spans="1:7" ht="15">
      <c r="A68" s="1">
        <f t="shared" si="1"/>
        <v>10</v>
      </c>
      <c r="B68" s="2" t="s">
        <v>72</v>
      </c>
      <c r="C68" s="2">
        <v>1986</v>
      </c>
      <c r="D68" s="2" t="s">
        <v>16</v>
      </c>
      <c r="E68" s="2">
        <f>16+3+14</f>
        <v>33</v>
      </c>
      <c r="F68" s="2">
        <f>731+749+578+726+464+2696</f>
        <v>5944</v>
      </c>
      <c r="G68" s="3">
        <f t="shared" si="2"/>
        <v>180.12121212121212</v>
      </c>
    </row>
    <row r="69" spans="1:7" ht="15">
      <c r="A69" s="1">
        <f t="shared" si="1"/>
        <v>11</v>
      </c>
      <c r="B69" s="2" t="s">
        <v>73</v>
      </c>
      <c r="C69" s="2">
        <v>1987</v>
      </c>
      <c r="D69" s="2" t="s">
        <v>36</v>
      </c>
      <c r="E69" s="2">
        <f>23+6+3+14</f>
        <v>46</v>
      </c>
      <c r="F69" s="2">
        <f>677+687+753+764+638+500+1019+482+679+800+1112</f>
        <v>8111</v>
      </c>
      <c r="G69" s="3">
        <f t="shared" si="2"/>
        <v>176.32608695652175</v>
      </c>
    </row>
    <row r="70" spans="1:7" ht="15">
      <c r="A70" s="43">
        <f t="shared" si="1"/>
        <v>12</v>
      </c>
      <c r="B70" s="41" t="s">
        <v>74</v>
      </c>
      <c r="C70" s="41">
        <v>1984</v>
      </c>
      <c r="D70" s="41" t="s">
        <v>47</v>
      </c>
      <c r="E70" s="41">
        <f>20+6+3</f>
        <v>29</v>
      </c>
      <c r="F70" s="41">
        <f>610+754+703+612+760+1100+560</f>
        <v>5099</v>
      </c>
      <c r="G70" s="42">
        <f t="shared" si="2"/>
        <v>175.82758620689654</v>
      </c>
    </row>
    <row r="71" spans="1:7" ht="15">
      <c r="A71" s="1">
        <f t="shared" si="1"/>
        <v>13</v>
      </c>
      <c r="B71" s="2" t="s">
        <v>75</v>
      </c>
      <c r="C71" s="2">
        <v>1987</v>
      </c>
      <c r="D71" s="2" t="s">
        <v>10</v>
      </c>
      <c r="E71" s="2">
        <f>24+3+7</f>
        <v>34</v>
      </c>
      <c r="F71" s="2">
        <f>691+834+708+651+741+579+470+695+526</f>
        <v>5895</v>
      </c>
      <c r="G71" s="3">
        <f t="shared" si="2"/>
        <v>173.38235294117646</v>
      </c>
    </row>
    <row r="72" spans="1:7" ht="15">
      <c r="A72" s="1">
        <f t="shared" si="1"/>
        <v>14</v>
      </c>
      <c r="B72" s="2" t="s">
        <v>76</v>
      </c>
      <c r="C72" s="2">
        <v>1986</v>
      </c>
      <c r="D72" s="2" t="s">
        <v>64</v>
      </c>
      <c r="E72" s="2">
        <f>24+9+3+14</f>
        <v>50</v>
      </c>
      <c r="F72" s="2">
        <f>608+736+746+683+731+756+1538+544+643+658+1008</f>
        <v>8651</v>
      </c>
      <c r="G72" s="3">
        <f t="shared" si="2"/>
        <v>173.02</v>
      </c>
    </row>
    <row r="73" spans="1:7" ht="15">
      <c r="A73" s="1">
        <f t="shared" si="1"/>
        <v>15</v>
      </c>
      <c r="B73" s="2" t="s">
        <v>77</v>
      </c>
      <c r="C73" s="2">
        <v>1984</v>
      </c>
      <c r="D73" s="2" t="s">
        <v>25</v>
      </c>
      <c r="E73" s="2">
        <f>23+6+3+14</f>
        <v>46</v>
      </c>
      <c r="F73" s="2">
        <f>670+777+686+650+518+839+995+523+657+637+969</f>
        <v>7921</v>
      </c>
      <c r="G73" s="3">
        <f t="shared" si="2"/>
        <v>172.19565217391303</v>
      </c>
    </row>
    <row r="74" spans="1:7" ht="15">
      <c r="A74" s="43">
        <f t="shared" si="1"/>
        <v>16</v>
      </c>
      <c r="B74" s="41" t="s">
        <v>78</v>
      </c>
      <c r="C74" s="41">
        <v>1987</v>
      </c>
      <c r="D74" s="41" t="s">
        <v>47</v>
      </c>
      <c r="E74" s="41">
        <f>24+3+14</f>
        <v>41</v>
      </c>
      <c r="F74" s="41">
        <f>665+793+664+635+711+700+526+592+741+1014</f>
        <v>7041</v>
      </c>
      <c r="G74" s="42">
        <f t="shared" si="2"/>
        <v>171.73170731707316</v>
      </c>
    </row>
    <row r="75" spans="1:7" ht="15">
      <c r="A75" s="1">
        <f t="shared" si="1"/>
        <v>17</v>
      </c>
      <c r="B75" s="2" t="s">
        <v>79</v>
      </c>
      <c r="C75" s="2">
        <v>1985</v>
      </c>
      <c r="D75" s="2" t="s">
        <v>80</v>
      </c>
      <c r="E75" s="2">
        <f>23</f>
        <v>23</v>
      </c>
      <c r="F75" s="2">
        <f>3920</f>
        <v>3920</v>
      </c>
      <c r="G75" s="3">
        <f t="shared" si="2"/>
        <v>170.43478260869566</v>
      </c>
    </row>
    <row r="76" spans="1:7" ht="15">
      <c r="A76" s="1">
        <f t="shared" si="1"/>
        <v>18</v>
      </c>
      <c r="B76" s="2" t="s">
        <v>81</v>
      </c>
      <c r="C76" s="2">
        <v>1987</v>
      </c>
      <c r="D76" s="2" t="s">
        <v>62</v>
      </c>
      <c r="E76" s="2">
        <f>26</f>
        <v>26</v>
      </c>
      <c r="F76" s="2">
        <f>4427</f>
        <v>4427</v>
      </c>
      <c r="G76" s="3">
        <f t="shared" si="2"/>
        <v>170.26923076923077</v>
      </c>
    </row>
    <row r="77" spans="1:7" ht="15">
      <c r="A77" s="1">
        <f t="shared" si="1"/>
        <v>19</v>
      </c>
      <c r="B77" s="2" t="s">
        <v>82</v>
      </c>
      <c r="C77" s="2">
        <v>1986</v>
      </c>
      <c r="D77" s="2" t="s">
        <v>25</v>
      </c>
      <c r="E77" s="2">
        <f>19+3</f>
        <v>22</v>
      </c>
      <c r="F77" s="2">
        <f>306+752+488+628+496+516+539</f>
        <v>3725</v>
      </c>
      <c r="G77" s="3">
        <f t="shared" si="2"/>
        <v>169.3181818181818</v>
      </c>
    </row>
    <row r="78" spans="1:7" ht="15">
      <c r="A78" s="1">
        <f t="shared" si="1"/>
        <v>20</v>
      </c>
      <c r="B78" s="2" t="s">
        <v>83</v>
      </c>
      <c r="C78" s="2">
        <v>1987</v>
      </c>
      <c r="D78" s="2" t="s">
        <v>62</v>
      </c>
      <c r="E78" s="2">
        <f>23</f>
        <v>23</v>
      </c>
      <c r="F78" s="2">
        <f>3888</f>
        <v>3888</v>
      </c>
      <c r="G78" s="3">
        <f t="shared" si="2"/>
        <v>169.04347826086956</v>
      </c>
    </row>
    <row r="79" spans="1:7" ht="15">
      <c r="A79" s="1">
        <f t="shared" si="1"/>
        <v>21</v>
      </c>
      <c r="B79" s="2" t="s">
        <v>84</v>
      </c>
      <c r="C79" s="2">
        <v>1985</v>
      </c>
      <c r="D79" s="2" t="s">
        <v>80</v>
      </c>
      <c r="E79" s="2">
        <f>27</f>
        <v>27</v>
      </c>
      <c r="F79" s="2">
        <f>4526</f>
        <v>4526</v>
      </c>
      <c r="G79" s="3">
        <f t="shared" si="2"/>
        <v>167.62962962962962</v>
      </c>
    </row>
    <row r="80" spans="1:7" ht="15">
      <c r="A80" s="43">
        <f t="shared" si="1"/>
        <v>22</v>
      </c>
      <c r="B80" s="41" t="s">
        <v>85</v>
      </c>
      <c r="C80" s="41">
        <v>1986</v>
      </c>
      <c r="D80" s="41" t="s">
        <v>47</v>
      </c>
      <c r="E80" s="41">
        <f>4+16+14</f>
        <v>34</v>
      </c>
      <c r="F80" s="41">
        <f>614+733+649+593+670+2433</f>
        <v>5692</v>
      </c>
      <c r="G80" s="42">
        <f t="shared" si="2"/>
        <v>167.41176470588235</v>
      </c>
    </row>
    <row r="81" spans="1:7" ht="15">
      <c r="A81" s="1">
        <f t="shared" si="1"/>
        <v>23</v>
      </c>
      <c r="B81" s="2" t="s">
        <v>86</v>
      </c>
      <c r="C81" s="2">
        <v>1984</v>
      </c>
      <c r="D81" s="2" t="s">
        <v>64</v>
      </c>
      <c r="E81" s="2">
        <f>20+6+3+14</f>
        <v>43</v>
      </c>
      <c r="F81" s="2">
        <f>594+671+695+728+733+941+478+736+634+987</f>
        <v>7197</v>
      </c>
      <c r="G81" s="3">
        <f t="shared" si="2"/>
        <v>167.37209302325581</v>
      </c>
    </row>
    <row r="82" spans="1:7" ht="15">
      <c r="A82" s="1">
        <f t="shared" si="1"/>
        <v>24</v>
      </c>
      <c r="B82" s="2" t="s">
        <v>87</v>
      </c>
      <c r="C82" s="2">
        <v>1984</v>
      </c>
      <c r="D82" s="2" t="s">
        <v>10</v>
      </c>
      <c r="E82" s="2">
        <f>16</f>
        <v>16</v>
      </c>
      <c r="F82" s="2">
        <f>656+742+725+545</f>
        <v>2668</v>
      </c>
      <c r="G82" s="3">
        <f t="shared" si="2"/>
        <v>166.75</v>
      </c>
    </row>
    <row r="83" spans="1:7" ht="15">
      <c r="A83" s="1">
        <f t="shared" si="1"/>
        <v>25</v>
      </c>
      <c r="B83" s="2" t="s">
        <v>88</v>
      </c>
      <c r="C83" s="2">
        <v>1986</v>
      </c>
      <c r="D83" s="2" t="s">
        <v>25</v>
      </c>
      <c r="E83" s="2">
        <f>14</f>
        <v>14</v>
      </c>
      <c r="F83" s="2">
        <f>2334</f>
        <v>2334</v>
      </c>
      <c r="G83" s="3">
        <f t="shared" si="2"/>
        <v>166.71428571428572</v>
      </c>
    </row>
    <row r="84" spans="1:7" ht="15">
      <c r="A84" s="43">
        <f t="shared" si="1"/>
        <v>26</v>
      </c>
      <c r="B84" s="41" t="s">
        <v>89</v>
      </c>
      <c r="C84" s="41">
        <v>1986</v>
      </c>
      <c r="D84" s="41" t="s">
        <v>47</v>
      </c>
      <c r="E84" s="41">
        <f>24+3</f>
        <v>27</v>
      </c>
      <c r="F84" s="41">
        <f>630+718+700+685+675+641+435</f>
        <v>4484</v>
      </c>
      <c r="G84" s="42">
        <f t="shared" si="2"/>
        <v>166.07407407407408</v>
      </c>
    </row>
    <row r="85" spans="1:7" ht="15">
      <c r="A85" s="1">
        <f t="shared" si="1"/>
        <v>27</v>
      </c>
      <c r="B85" s="2" t="s">
        <v>90</v>
      </c>
      <c r="C85" s="2">
        <v>1984</v>
      </c>
      <c r="D85" s="2" t="s">
        <v>91</v>
      </c>
      <c r="E85" s="2">
        <f>13</f>
        <v>13</v>
      </c>
      <c r="F85" s="2">
        <f>2156</f>
        <v>2156</v>
      </c>
      <c r="G85" s="3">
        <f t="shared" si="2"/>
        <v>165.84615384615384</v>
      </c>
    </row>
    <row r="86" spans="1:7" ht="15">
      <c r="A86" s="1">
        <f t="shared" si="1"/>
        <v>28</v>
      </c>
      <c r="B86" s="2" t="s">
        <v>92</v>
      </c>
      <c r="C86" s="2">
        <v>1984</v>
      </c>
      <c r="D86" s="2" t="s">
        <v>93</v>
      </c>
      <c r="E86" s="2">
        <f>23</f>
        <v>23</v>
      </c>
      <c r="F86" s="2">
        <f>3795</f>
        <v>3795</v>
      </c>
      <c r="G86" s="3">
        <f t="shared" si="2"/>
        <v>165</v>
      </c>
    </row>
    <row r="87" spans="1:7" ht="15">
      <c r="A87" s="1">
        <f t="shared" si="1"/>
        <v>29</v>
      </c>
      <c r="B87" s="2" t="s">
        <v>94</v>
      </c>
      <c r="C87" s="2">
        <v>1986</v>
      </c>
      <c r="D87" s="2" t="s">
        <v>95</v>
      </c>
      <c r="E87" s="2">
        <f>24+3</f>
        <v>27</v>
      </c>
      <c r="F87" s="2">
        <f>651+653+725+672+582+645+521</f>
        <v>4449</v>
      </c>
      <c r="G87" s="3">
        <f t="shared" si="2"/>
        <v>164.77777777777777</v>
      </c>
    </row>
    <row r="88" spans="1:7" ht="15">
      <c r="A88" s="1">
        <f t="shared" si="1"/>
        <v>30</v>
      </c>
      <c r="B88" s="2" t="s">
        <v>96</v>
      </c>
      <c r="C88" s="2">
        <v>1986</v>
      </c>
      <c r="D88" s="2" t="s">
        <v>64</v>
      </c>
      <c r="E88" s="2">
        <f>15+4+9+14</f>
        <v>42</v>
      </c>
      <c r="F88" s="2">
        <f>721+631+616+394+624+1457+2468</f>
        <v>6911</v>
      </c>
      <c r="G88" s="3">
        <f t="shared" si="2"/>
        <v>164.54761904761904</v>
      </c>
    </row>
    <row r="89" spans="1:7" ht="15">
      <c r="A89" s="43">
        <f t="shared" si="1"/>
        <v>31</v>
      </c>
      <c r="B89" s="41" t="s">
        <v>97</v>
      </c>
      <c r="C89" s="41">
        <v>1984</v>
      </c>
      <c r="D89" s="41" t="s">
        <v>47</v>
      </c>
      <c r="E89" s="41">
        <f>24+3+4</f>
        <v>31</v>
      </c>
      <c r="F89" s="41">
        <f>628+750+620+692+668+663+528+532</f>
        <v>5081</v>
      </c>
      <c r="G89" s="42">
        <f t="shared" si="2"/>
        <v>163.90322580645162</v>
      </c>
    </row>
    <row r="90" spans="1:7" ht="15">
      <c r="A90" s="1">
        <f t="shared" si="1"/>
        <v>32</v>
      </c>
      <c r="B90" s="2" t="s">
        <v>98</v>
      </c>
      <c r="C90" s="2">
        <v>1984</v>
      </c>
      <c r="D90" s="2" t="s">
        <v>91</v>
      </c>
      <c r="E90" s="2">
        <f>26</f>
        <v>26</v>
      </c>
      <c r="F90" s="2">
        <f>4254</f>
        <v>4254</v>
      </c>
      <c r="G90" s="3">
        <f t="shared" si="2"/>
        <v>163.6153846153846</v>
      </c>
    </row>
    <row r="91" spans="1:7" ht="15">
      <c r="A91" s="1">
        <f t="shared" si="1"/>
        <v>33</v>
      </c>
      <c r="B91" s="2" t="s">
        <v>99</v>
      </c>
      <c r="C91" s="2">
        <v>1986</v>
      </c>
      <c r="D91" s="2" t="s">
        <v>100</v>
      </c>
      <c r="E91" s="2">
        <f>24+3+14</f>
        <v>41</v>
      </c>
      <c r="F91" s="2">
        <f>525+657+681+558+634+666+518+656+710+1102</f>
        <v>6707</v>
      </c>
      <c r="G91" s="3">
        <f t="shared" si="2"/>
        <v>163.58536585365854</v>
      </c>
    </row>
    <row r="92" spans="1:7" ht="15">
      <c r="A92" s="1">
        <f t="shared" si="1"/>
        <v>34</v>
      </c>
      <c r="B92" s="2" t="s">
        <v>101</v>
      </c>
      <c r="C92" s="2">
        <v>1985</v>
      </c>
      <c r="D92" s="2" t="s">
        <v>102</v>
      </c>
      <c r="E92" s="2">
        <f>4+12+2+8</f>
        <v>26</v>
      </c>
      <c r="F92" s="2">
        <f>699+634+507+646+277+604+855</f>
        <v>4222</v>
      </c>
      <c r="G92" s="3">
        <f t="shared" si="2"/>
        <v>162.3846153846154</v>
      </c>
    </row>
    <row r="93" spans="1:7" ht="15">
      <c r="A93" s="1">
        <f t="shared" si="1"/>
        <v>35</v>
      </c>
      <c r="B93" s="2" t="s">
        <v>103</v>
      </c>
      <c r="C93" s="2">
        <v>1986</v>
      </c>
      <c r="D93" s="2" t="s">
        <v>91</v>
      </c>
      <c r="E93" s="2">
        <f>16</f>
        <v>16</v>
      </c>
      <c r="F93" s="2">
        <f>2593</f>
        <v>2593</v>
      </c>
      <c r="G93" s="3">
        <f t="shared" si="2"/>
        <v>162.0625</v>
      </c>
    </row>
    <row r="94" spans="1:7" ht="15">
      <c r="A94" s="1">
        <f t="shared" si="1"/>
        <v>36</v>
      </c>
      <c r="B94" s="2" t="s">
        <v>104</v>
      </c>
      <c r="C94" s="2">
        <v>1985</v>
      </c>
      <c r="D94" s="2" t="s">
        <v>93</v>
      </c>
      <c r="E94" s="2">
        <f>17</f>
        <v>17</v>
      </c>
      <c r="F94" s="2">
        <v>2751</v>
      </c>
      <c r="G94" s="3">
        <f t="shared" si="2"/>
        <v>161.8235294117647</v>
      </c>
    </row>
    <row r="95" spans="1:7" ht="15">
      <c r="A95" s="1">
        <f t="shared" si="1"/>
        <v>37</v>
      </c>
      <c r="B95" s="2" t="s">
        <v>105</v>
      </c>
      <c r="C95" s="2">
        <v>1985</v>
      </c>
      <c r="D95" s="2" t="s">
        <v>91</v>
      </c>
      <c r="E95" s="2">
        <f>28</f>
        <v>28</v>
      </c>
      <c r="F95" s="2">
        <f>4519</f>
        <v>4519</v>
      </c>
      <c r="G95" s="3">
        <f t="shared" si="2"/>
        <v>161.39285714285714</v>
      </c>
    </row>
    <row r="96" spans="1:7" ht="15">
      <c r="A96" s="1">
        <f t="shared" si="1"/>
        <v>38</v>
      </c>
      <c r="B96" s="2" t="s">
        <v>106</v>
      </c>
      <c r="C96" s="2">
        <v>1984</v>
      </c>
      <c r="D96" s="2" t="s">
        <v>33</v>
      </c>
      <c r="E96" s="2">
        <f>19+3+14</f>
        <v>36</v>
      </c>
      <c r="F96" s="2">
        <f>602+615+709+456+685+545+2195</f>
        <v>5807</v>
      </c>
      <c r="G96" s="3">
        <f t="shared" si="2"/>
        <v>161.30555555555554</v>
      </c>
    </row>
    <row r="97" spans="1:7" ht="15">
      <c r="A97" s="1">
        <f t="shared" si="1"/>
        <v>39</v>
      </c>
      <c r="B97" s="2" t="s">
        <v>107</v>
      </c>
      <c r="C97" s="2">
        <v>1986</v>
      </c>
      <c r="D97" s="2" t="s">
        <v>64</v>
      </c>
      <c r="E97" s="2">
        <f>23+6+3+14</f>
        <v>46</v>
      </c>
      <c r="F97" s="2">
        <f>652+601+672+415+573+799+918+513+2253</f>
        <v>7396</v>
      </c>
      <c r="G97" s="3">
        <f t="shared" si="2"/>
        <v>160.7826086956522</v>
      </c>
    </row>
    <row r="98" spans="1:7" ht="15">
      <c r="A98" s="1">
        <f t="shared" si="1"/>
        <v>40</v>
      </c>
      <c r="B98" s="2" t="s">
        <v>108</v>
      </c>
      <c r="C98" s="2">
        <v>1984</v>
      </c>
      <c r="D98" s="2" t="s">
        <v>93</v>
      </c>
      <c r="E98" s="2">
        <f>16</f>
        <v>16</v>
      </c>
      <c r="F98" s="2">
        <f>2555</f>
        <v>2555</v>
      </c>
      <c r="G98" s="3">
        <f t="shared" si="2"/>
        <v>159.6875</v>
      </c>
    </row>
    <row r="99" spans="1:7" ht="15">
      <c r="A99" s="1">
        <f t="shared" si="1"/>
        <v>41</v>
      </c>
      <c r="B99" s="2" t="s">
        <v>109</v>
      </c>
      <c r="C99" s="2">
        <v>1985</v>
      </c>
      <c r="D99" s="2" t="s">
        <v>33</v>
      </c>
      <c r="E99" s="2">
        <f>24+3+14</f>
        <v>41</v>
      </c>
      <c r="F99" s="2">
        <f>674+616+556+655+618+686+489+2235</f>
        <v>6529</v>
      </c>
      <c r="G99" s="3">
        <f t="shared" si="2"/>
        <v>159.2439024390244</v>
      </c>
    </row>
    <row r="100" spans="1:7" ht="15">
      <c r="A100" s="1">
        <f t="shared" si="1"/>
        <v>42</v>
      </c>
      <c r="B100" s="2" t="s">
        <v>110</v>
      </c>
      <c r="C100" s="2">
        <v>1985</v>
      </c>
      <c r="D100" s="2" t="s">
        <v>64</v>
      </c>
      <c r="E100" s="2">
        <f>4+8+6+2</f>
        <v>20</v>
      </c>
      <c r="F100" s="2">
        <f>675+613+668+946+282</f>
        <v>3184</v>
      </c>
      <c r="G100" s="3">
        <f t="shared" si="2"/>
        <v>159.2</v>
      </c>
    </row>
    <row r="101" spans="1:7" ht="15">
      <c r="A101" s="1">
        <f t="shared" si="1"/>
        <v>43</v>
      </c>
      <c r="B101" s="2" t="s">
        <v>111</v>
      </c>
      <c r="C101" s="2">
        <v>1985</v>
      </c>
      <c r="D101" s="2" t="s">
        <v>25</v>
      </c>
      <c r="E101" s="2">
        <f>23+2+9+2+8</f>
        <v>44</v>
      </c>
      <c r="F101" s="2">
        <f>453+665+586+684+564+601+347+1465+325+1294</f>
        <v>6984</v>
      </c>
      <c r="G101" s="3">
        <f t="shared" si="2"/>
        <v>158.72727272727272</v>
      </c>
    </row>
    <row r="102" spans="1:7" ht="15">
      <c r="A102" s="1">
        <f t="shared" si="1"/>
        <v>44</v>
      </c>
      <c r="B102" s="2" t="s">
        <v>112</v>
      </c>
      <c r="C102" s="2">
        <v>1986</v>
      </c>
      <c r="D102" s="2" t="s">
        <v>93</v>
      </c>
      <c r="E102" s="2">
        <f>23</f>
        <v>23</v>
      </c>
      <c r="F102" s="2">
        <v>3640</v>
      </c>
      <c r="G102" s="3">
        <f t="shared" si="2"/>
        <v>158.2608695652174</v>
      </c>
    </row>
    <row r="103" spans="1:7" ht="15">
      <c r="A103" s="1">
        <f t="shared" si="1"/>
        <v>45</v>
      </c>
      <c r="B103" s="2" t="s">
        <v>113</v>
      </c>
      <c r="C103" s="2">
        <v>1987</v>
      </c>
      <c r="D103" s="2" t="s">
        <v>62</v>
      </c>
      <c r="E103" s="2">
        <f>20</f>
        <v>20</v>
      </c>
      <c r="F103" s="2">
        <f>3146</f>
        <v>3146</v>
      </c>
      <c r="G103" s="3">
        <f t="shared" si="2"/>
        <v>157.3</v>
      </c>
    </row>
    <row r="104" spans="1:7" ht="15">
      <c r="A104" s="1">
        <f t="shared" si="1"/>
        <v>46</v>
      </c>
      <c r="B104" s="2" t="s">
        <v>114</v>
      </c>
      <c r="C104" s="2">
        <v>1985</v>
      </c>
      <c r="D104" s="2" t="s">
        <v>93</v>
      </c>
      <c r="E104" s="2">
        <f>21</f>
        <v>21</v>
      </c>
      <c r="F104" s="2">
        <f>3302</f>
        <v>3302</v>
      </c>
      <c r="G104" s="3">
        <f t="shared" si="2"/>
        <v>157.23809523809524</v>
      </c>
    </row>
    <row r="105" spans="1:7" ht="15">
      <c r="A105" s="1">
        <f t="shared" si="1"/>
        <v>47</v>
      </c>
      <c r="B105" s="2" t="s">
        <v>115</v>
      </c>
      <c r="C105" s="2">
        <v>1984</v>
      </c>
      <c r="D105" s="2" t="s">
        <v>21</v>
      </c>
      <c r="E105" s="2">
        <f>14+4+3+14</f>
        <v>35</v>
      </c>
      <c r="F105" s="2">
        <f>339+543+693+541+588+516+2257</f>
        <v>5477</v>
      </c>
      <c r="G105" s="3">
        <f t="shared" si="2"/>
        <v>156.4857142857143</v>
      </c>
    </row>
    <row r="106" spans="1:7" ht="15">
      <c r="A106" s="1">
        <f t="shared" si="1"/>
        <v>48</v>
      </c>
      <c r="B106" s="2" t="s">
        <v>116</v>
      </c>
      <c r="C106" s="2">
        <v>1987</v>
      </c>
      <c r="D106" s="2" t="s">
        <v>93</v>
      </c>
      <c r="E106" s="2">
        <f>13</f>
        <v>13</v>
      </c>
      <c r="F106" s="2">
        <v>2025</v>
      </c>
      <c r="G106" s="3">
        <f t="shared" si="2"/>
        <v>155.76923076923077</v>
      </c>
    </row>
    <row r="107" spans="1:7" ht="15">
      <c r="A107" s="1">
        <f t="shared" si="1"/>
        <v>49</v>
      </c>
      <c r="B107" s="2" t="s">
        <v>117</v>
      </c>
      <c r="C107" s="2">
        <v>1984</v>
      </c>
      <c r="D107" s="2" t="s">
        <v>64</v>
      </c>
      <c r="E107" s="2">
        <f>4+8+2+14</f>
        <v>28</v>
      </c>
      <c r="F107" s="2">
        <f>561+630+532+384+2248</f>
        <v>4355</v>
      </c>
      <c r="G107" s="3">
        <f t="shared" si="2"/>
        <v>155.53571428571428</v>
      </c>
    </row>
    <row r="108" spans="1:7" ht="15">
      <c r="A108" s="1">
        <f t="shared" si="1"/>
        <v>50</v>
      </c>
      <c r="B108" s="2" t="s">
        <v>118</v>
      </c>
      <c r="C108" s="2">
        <v>1985</v>
      </c>
      <c r="D108" s="2" t="s">
        <v>93</v>
      </c>
      <c r="E108" s="2">
        <f>24</f>
        <v>24</v>
      </c>
      <c r="F108" s="2">
        <f>3713</f>
        <v>3713</v>
      </c>
      <c r="G108" s="3">
        <f t="shared" si="2"/>
        <v>154.70833333333334</v>
      </c>
    </row>
    <row r="109" spans="1:7" ht="15">
      <c r="A109" s="1">
        <f t="shared" si="1"/>
        <v>51</v>
      </c>
      <c r="B109" s="2" t="s">
        <v>119</v>
      </c>
      <c r="C109" s="2">
        <v>1987</v>
      </c>
      <c r="D109" s="2" t="s">
        <v>64</v>
      </c>
      <c r="E109" s="2">
        <f>20+6+3+8</f>
        <v>37</v>
      </c>
      <c r="F109" s="2">
        <f>582+635+524+627+558+990+487+623+680</f>
        <v>5706</v>
      </c>
      <c r="G109" s="3">
        <f t="shared" si="2"/>
        <v>154.21621621621622</v>
      </c>
    </row>
    <row r="110" spans="1:7" ht="15">
      <c r="A110" s="1">
        <f t="shared" si="1"/>
        <v>52</v>
      </c>
      <c r="B110" s="2" t="s">
        <v>120</v>
      </c>
      <c r="C110" s="2">
        <v>1984</v>
      </c>
      <c r="D110" s="2" t="s">
        <v>64</v>
      </c>
      <c r="E110" s="2">
        <f>7+3</f>
        <v>10</v>
      </c>
      <c r="F110" s="2">
        <f>454+595+492</f>
        <v>1541</v>
      </c>
      <c r="G110" s="3">
        <f t="shared" si="2"/>
        <v>154.1</v>
      </c>
    </row>
    <row r="111" spans="1:7" ht="15">
      <c r="A111" s="1">
        <f t="shared" si="1"/>
        <v>53</v>
      </c>
      <c r="B111" s="12" t="s">
        <v>121</v>
      </c>
      <c r="C111" s="12">
        <v>1984</v>
      </c>
      <c r="D111" s="12" t="s">
        <v>122</v>
      </c>
      <c r="E111" s="12">
        <f>3</f>
        <v>3</v>
      </c>
      <c r="F111" s="12">
        <f>462</f>
        <v>462</v>
      </c>
      <c r="G111" s="3">
        <f t="shared" si="2"/>
        <v>154</v>
      </c>
    </row>
    <row r="112" spans="1:7" ht="15">
      <c r="A112" s="1">
        <f t="shared" si="1"/>
        <v>54</v>
      </c>
      <c r="B112" s="2" t="s">
        <v>123</v>
      </c>
      <c r="C112" s="2">
        <v>1985</v>
      </c>
      <c r="D112" s="2" t="s">
        <v>33</v>
      </c>
      <c r="E112" s="2">
        <f>24+3+4+8</f>
        <v>39</v>
      </c>
      <c r="F112" s="2">
        <f>606+644+615+539+559+680+490+614+587+661</f>
        <v>5995</v>
      </c>
      <c r="G112" s="3">
        <f t="shared" si="2"/>
        <v>153.71794871794873</v>
      </c>
    </row>
    <row r="113" spans="1:7" ht="15">
      <c r="A113" s="1">
        <f t="shared" si="1"/>
        <v>55</v>
      </c>
      <c r="B113" s="2" t="s">
        <v>124</v>
      </c>
      <c r="C113" s="2">
        <v>1987</v>
      </c>
      <c r="D113" s="2" t="s">
        <v>25</v>
      </c>
      <c r="E113" s="2">
        <f>18+2</f>
        <v>20</v>
      </c>
      <c r="F113" s="2">
        <f>472+563+452+548+588+443</f>
        <v>3066</v>
      </c>
      <c r="G113" s="3">
        <f t="shared" si="2"/>
        <v>153.3</v>
      </c>
    </row>
    <row r="114" spans="1:7" ht="15">
      <c r="A114" s="1">
        <f t="shared" si="1"/>
        <v>56</v>
      </c>
      <c r="B114" s="2" t="s">
        <v>125</v>
      </c>
      <c r="C114" s="2">
        <v>1987</v>
      </c>
      <c r="D114" s="2" t="s">
        <v>25</v>
      </c>
      <c r="E114" s="2">
        <f>8+6</f>
        <v>14</v>
      </c>
      <c r="F114" s="2">
        <f>600+539+1004</f>
        <v>2143</v>
      </c>
      <c r="G114" s="3">
        <f t="shared" si="2"/>
        <v>153.07142857142858</v>
      </c>
    </row>
    <row r="115" spans="1:7" ht="15">
      <c r="A115" s="1">
        <f t="shared" si="1"/>
        <v>57</v>
      </c>
      <c r="B115" s="2" t="s">
        <v>126</v>
      </c>
      <c r="C115" s="2">
        <v>1986</v>
      </c>
      <c r="D115" s="2" t="s">
        <v>36</v>
      </c>
      <c r="E115" s="2">
        <f>14</f>
        <v>14</v>
      </c>
      <c r="F115" s="2">
        <f>927+682+534</f>
        <v>2143</v>
      </c>
      <c r="G115" s="3">
        <f t="shared" si="2"/>
        <v>153.07142857142858</v>
      </c>
    </row>
    <row r="116" spans="1:7" ht="15">
      <c r="A116" s="1">
        <f t="shared" si="1"/>
        <v>58</v>
      </c>
      <c r="B116" s="2" t="s">
        <v>127</v>
      </c>
      <c r="C116" s="2">
        <v>1985</v>
      </c>
      <c r="D116" s="2" t="s">
        <v>33</v>
      </c>
      <c r="E116" s="2">
        <f>24+3</f>
        <v>27</v>
      </c>
      <c r="F116" s="2">
        <f>632+565+598+669+531+616+506</f>
        <v>4117</v>
      </c>
      <c r="G116" s="3">
        <f t="shared" si="2"/>
        <v>152.4814814814815</v>
      </c>
    </row>
    <row r="117" spans="1:7" ht="15">
      <c r="A117" s="1">
        <f t="shared" si="1"/>
        <v>59</v>
      </c>
      <c r="B117" s="2" t="s">
        <v>128</v>
      </c>
      <c r="C117" s="2">
        <v>1985</v>
      </c>
      <c r="D117" s="2" t="s">
        <v>33</v>
      </c>
      <c r="E117" s="2">
        <f>24+3</f>
        <v>27</v>
      </c>
      <c r="F117" s="2">
        <f>618+734+574+636+658+446+440</f>
        <v>4106</v>
      </c>
      <c r="G117" s="3">
        <f t="shared" si="2"/>
        <v>152.07407407407408</v>
      </c>
    </row>
    <row r="118" spans="1:7" ht="15">
      <c r="A118" s="1">
        <f t="shared" si="1"/>
        <v>60</v>
      </c>
      <c r="B118" s="2" t="s">
        <v>129</v>
      </c>
      <c r="C118" s="2">
        <v>1984</v>
      </c>
      <c r="D118" s="2" t="s">
        <v>25</v>
      </c>
      <c r="E118" s="2">
        <f>23+3</f>
        <v>26</v>
      </c>
      <c r="F118" s="2">
        <f>600+702+640+627+377+547+460</f>
        <v>3953</v>
      </c>
      <c r="G118" s="3">
        <f t="shared" si="2"/>
        <v>152.03846153846155</v>
      </c>
    </row>
    <row r="119" spans="1:7" ht="15">
      <c r="A119" s="1">
        <f t="shared" si="1"/>
        <v>61</v>
      </c>
      <c r="B119" s="2" t="s">
        <v>130</v>
      </c>
      <c r="C119" s="2">
        <v>1986</v>
      </c>
      <c r="D119" s="2" t="s">
        <v>131</v>
      </c>
      <c r="E119" s="2">
        <f>24+3+14</f>
        <v>41</v>
      </c>
      <c r="F119" s="2">
        <f>500+575+599+549+657+599+428+638+772+915</f>
        <v>6232</v>
      </c>
      <c r="G119" s="3">
        <f t="shared" si="2"/>
        <v>152</v>
      </c>
    </row>
    <row r="120" spans="1:7" ht="15">
      <c r="A120" s="1">
        <f t="shared" si="1"/>
        <v>62</v>
      </c>
      <c r="B120" s="2" t="s">
        <v>132</v>
      </c>
      <c r="C120" s="2">
        <v>1984</v>
      </c>
      <c r="D120" s="2" t="s">
        <v>21</v>
      </c>
      <c r="E120" s="2">
        <f>24+3+16</f>
        <v>43</v>
      </c>
      <c r="F120" s="2">
        <f>702+597+599+478+588+740+430+586+889+922</f>
        <v>6531</v>
      </c>
      <c r="G120" s="3">
        <f t="shared" si="2"/>
        <v>151.88372093023256</v>
      </c>
    </row>
    <row r="121" spans="1:7" ht="15">
      <c r="A121" s="1">
        <f t="shared" si="1"/>
        <v>63</v>
      </c>
      <c r="B121" s="2" t="s">
        <v>133</v>
      </c>
      <c r="C121" s="2">
        <v>1986</v>
      </c>
      <c r="D121" s="2" t="s">
        <v>93</v>
      </c>
      <c r="E121" s="2">
        <f>23</f>
        <v>23</v>
      </c>
      <c r="F121" s="2">
        <f>3490</f>
        <v>3490</v>
      </c>
      <c r="G121" s="3">
        <f t="shared" si="2"/>
        <v>151.7391304347826</v>
      </c>
    </row>
    <row r="122" spans="1:7" ht="15">
      <c r="A122" s="1">
        <f t="shared" si="1"/>
        <v>64</v>
      </c>
      <c r="B122" s="2" t="s">
        <v>134</v>
      </c>
      <c r="C122" s="2">
        <v>1984</v>
      </c>
      <c r="D122" s="2" t="s">
        <v>16</v>
      </c>
      <c r="E122" s="2">
        <f>11+8+6+16</f>
        <v>41</v>
      </c>
      <c r="F122" s="2">
        <f>674+380+624+581+591+913+507+1034+906</f>
        <v>6210</v>
      </c>
      <c r="G122" s="3">
        <f>F122/E122</f>
        <v>151.46341463414635</v>
      </c>
    </row>
    <row r="123" spans="1:7" ht="15">
      <c r="A123" s="1">
        <f aca="true" t="shared" si="3" ref="A123:A186">A122+1</f>
        <v>65</v>
      </c>
      <c r="B123" s="2" t="s">
        <v>135</v>
      </c>
      <c r="C123" s="2">
        <v>1987</v>
      </c>
      <c r="D123" s="2" t="s">
        <v>62</v>
      </c>
      <c r="E123" s="2">
        <f>23</f>
        <v>23</v>
      </c>
      <c r="F123" s="2">
        <f>3475</f>
        <v>3475</v>
      </c>
      <c r="G123" s="3">
        <f>F123/E123</f>
        <v>151.08695652173913</v>
      </c>
    </row>
    <row r="124" spans="1:7" ht="15">
      <c r="A124" s="1">
        <f t="shared" si="3"/>
        <v>66</v>
      </c>
      <c r="B124" s="2" t="s">
        <v>136</v>
      </c>
      <c r="C124" s="2">
        <v>1987</v>
      </c>
      <c r="D124" s="2" t="s">
        <v>25</v>
      </c>
      <c r="E124" s="2">
        <f>8+4+8+2+8</f>
        <v>30</v>
      </c>
      <c r="F124" s="2">
        <f>427+134+257+319+583+654+660+302+548+638</f>
        <v>4522</v>
      </c>
      <c r="G124" s="3">
        <f>F124/E124</f>
        <v>150.73333333333332</v>
      </c>
    </row>
    <row r="125" spans="1:7" ht="15">
      <c r="A125" s="1">
        <f t="shared" si="3"/>
        <v>67</v>
      </c>
      <c r="B125" s="2" t="s">
        <v>137</v>
      </c>
      <c r="C125" s="2">
        <v>1985</v>
      </c>
      <c r="D125" s="2" t="s">
        <v>93</v>
      </c>
      <c r="E125" s="2">
        <f>24</f>
        <v>24</v>
      </c>
      <c r="F125" s="2">
        <f>3603</f>
        <v>3603</v>
      </c>
      <c r="G125" s="3">
        <f aca="true" t="shared" si="4" ref="G125:G188">F125/E125</f>
        <v>150.125</v>
      </c>
    </row>
    <row r="126" spans="1:7" ht="15">
      <c r="A126" s="43">
        <f t="shared" si="3"/>
        <v>68</v>
      </c>
      <c r="B126" s="41" t="s">
        <v>138</v>
      </c>
      <c r="C126" s="41">
        <v>1986</v>
      </c>
      <c r="D126" s="41" t="s">
        <v>47</v>
      </c>
      <c r="E126" s="41">
        <f>24+3+14</f>
        <v>41</v>
      </c>
      <c r="F126" s="41">
        <f>581+564+666+520+628+597+432+2163</f>
        <v>6151</v>
      </c>
      <c r="G126" s="42">
        <f t="shared" si="4"/>
        <v>150.02439024390245</v>
      </c>
    </row>
    <row r="127" spans="1:7" ht="15">
      <c r="A127" s="1">
        <f t="shared" si="3"/>
        <v>69</v>
      </c>
      <c r="B127" s="2" t="s">
        <v>139</v>
      </c>
      <c r="C127" s="2">
        <v>1987</v>
      </c>
      <c r="D127" s="2" t="s">
        <v>25</v>
      </c>
      <c r="E127" s="2">
        <f>4+13+3+9+3+8</f>
        <v>40</v>
      </c>
      <c r="F127" s="2">
        <f>650+580+296+551+441+418+1463+432+566+602</f>
        <v>5999</v>
      </c>
      <c r="G127" s="3">
        <f t="shared" si="4"/>
        <v>149.975</v>
      </c>
    </row>
    <row r="128" spans="1:7" ht="15">
      <c r="A128" s="1">
        <f t="shared" si="3"/>
        <v>70</v>
      </c>
      <c r="B128" s="2" t="s">
        <v>140</v>
      </c>
      <c r="C128" s="2">
        <v>1987</v>
      </c>
      <c r="D128" s="2" t="s">
        <v>25</v>
      </c>
      <c r="E128" s="2">
        <f>11+3</f>
        <v>14</v>
      </c>
      <c r="F128" s="2">
        <f>601+481+557+460</f>
        <v>2099</v>
      </c>
      <c r="G128" s="3">
        <f t="shared" si="4"/>
        <v>149.92857142857142</v>
      </c>
    </row>
    <row r="129" spans="1:7" ht="15">
      <c r="A129" s="1">
        <f t="shared" si="3"/>
        <v>71</v>
      </c>
      <c r="B129" s="2" t="s">
        <v>141</v>
      </c>
      <c r="C129" s="2">
        <v>1985</v>
      </c>
      <c r="D129" s="2" t="s">
        <v>142</v>
      </c>
      <c r="E129" s="2">
        <f>24+3+8</f>
        <v>35</v>
      </c>
      <c r="F129" s="2">
        <f>644+569+585+573+596+532+512+601+629</f>
        <v>5241</v>
      </c>
      <c r="G129" s="3">
        <f t="shared" si="4"/>
        <v>149.74285714285713</v>
      </c>
    </row>
    <row r="130" spans="1:7" ht="15">
      <c r="A130" s="1">
        <f t="shared" si="3"/>
        <v>72</v>
      </c>
      <c r="B130" s="2" t="s">
        <v>143</v>
      </c>
      <c r="C130" s="2">
        <v>1985</v>
      </c>
      <c r="D130" s="2" t="s">
        <v>102</v>
      </c>
      <c r="E130" s="2">
        <f>4+20+2+8</f>
        <v>34</v>
      </c>
      <c r="F130" s="2">
        <f>641+555+599+549+622+594+268+1249</f>
        <v>5077</v>
      </c>
      <c r="G130" s="3">
        <f t="shared" si="4"/>
        <v>149.3235294117647</v>
      </c>
    </row>
    <row r="131" spans="1:7" ht="15">
      <c r="A131" s="1">
        <f t="shared" si="3"/>
        <v>73</v>
      </c>
      <c r="B131" s="2" t="s">
        <v>144</v>
      </c>
      <c r="C131" s="2">
        <v>1985</v>
      </c>
      <c r="D131" s="2" t="s">
        <v>142</v>
      </c>
      <c r="E131" s="2">
        <f>24+3+8</f>
        <v>35</v>
      </c>
      <c r="F131" s="2">
        <f>691+558+561+509+652+617+444+557+633</f>
        <v>5222</v>
      </c>
      <c r="G131" s="3">
        <f t="shared" si="4"/>
        <v>149.2</v>
      </c>
    </row>
    <row r="132" spans="1:7" ht="15">
      <c r="A132" s="1">
        <f t="shared" si="3"/>
        <v>74</v>
      </c>
      <c r="B132" s="2" t="s">
        <v>145</v>
      </c>
      <c r="C132" s="2">
        <v>1985</v>
      </c>
      <c r="D132" s="2" t="s">
        <v>25</v>
      </c>
      <c r="E132" s="2">
        <f>22+9+2+8</f>
        <v>41</v>
      </c>
      <c r="F132" s="2">
        <f>451+549+574+628+524+495+1429+295+577+583</f>
        <v>6105</v>
      </c>
      <c r="G132" s="3">
        <f t="shared" si="4"/>
        <v>148.90243902439025</v>
      </c>
    </row>
    <row r="133" spans="1:7" ht="15">
      <c r="A133" s="1">
        <f t="shared" si="3"/>
        <v>75</v>
      </c>
      <c r="B133" s="2" t="s">
        <v>146</v>
      </c>
      <c r="C133" s="2">
        <v>1984</v>
      </c>
      <c r="D133" s="2" t="s">
        <v>33</v>
      </c>
      <c r="E133" s="2">
        <f>12+4+8</f>
        <v>24</v>
      </c>
      <c r="F133" s="2">
        <f>594+623+523+528+1292</f>
        <v>3560</v>
      </c>
      <c r="G133" s="3">
        <f t="shared" si="4"/>
        <v>148.33333333333334</v>
      </c>
    </row>
    <row r="134" spans="1:7" ht="15">
      <c r="A134" s="1">
        <f t="shared" si="3"/>
        <v>76</v>
      </c>
      <c r="B134" s="2" t="s">
        <v>147</v>
      </c>
      <c r="C134" s="2">
        <v>1987</v>
      </c>
      <c r="D134" s="2" t="s">
        <v>36</v>
      </c>
      <c r="E134" s="2">
        <f>18+3+8</f>
        <v>29</v>
      </c>
      <c r="F134" s="2">
        <f>291+651+455+737+550+487+1126</f>
        <v>4297</v>
      </c>
      <c r="G134" s="3">
        <f t="shared" si="4"/>
        <v>148.17241379310346</v>
      </c>
    </row>
    <row r="135" spans="1:7" ht="15">
      <c r="A135" s="1">
        <f t="shared" si="3"/>
        <v>77</v>
      </c>
      <c r="B135" s="2" t="s">
        <v>148</v>
      </c>
      <c r="C135" s="2">
        <v>1987</v>
      </c>
      <c r="D135" s="2" t="s">
        <v>64</v>
      </c>
      <c r="E135" s="2">
        <f>20+9+3+8</f>
        <v>40</v>
      </c>
      <c r="F135" s="2">
        <f>543+602+578+572+542+1439+417+618+594</f>
        <v>5905</v>
      </c>
      <c r="G135" s="3">
        <f t="shared" si="4"/>
        <v>147.625</v>
      </c>
    </row>
    <row r="136" spans="1:7" ht="15">
      <c r="A136" s="1">
        <f t="shared" si="3"/>
        <v>78</v>
      </c>
      <c r="B136" s="2" t="s">
        <v>149</v>
      </c>
      <c r="C136" s="2">
        <v>1984</v>
      </c>
      <c r="D136" s="2" t="s">
        <v>93</v>
      </c>
      <c r="E136" s="2">
        <f>8</f>
        <v>8</v>
      </c>
      <c r="F136" s="2">
        <f>1177</f>
        <v>1177</v>
      </c>
      <c r="G136" s="3">
        <f t="shared" si="4"/>
        <v>147.125</v>
      </c>
    </row>
    <row r="137" spans="1:7" ht="15">
      <c r="A137" s="1">
        <f t="shared" si="3"/>
        <v>79</v>
      </c>
      <c r="B137" s="2" t="s">
        <v>150</v>
      </c>
      <c r="C137" s="2">
        <v>1986</v>
      </c>
      <c r="D137" s="2" t="s">
        <v>25</v>
      </c>
      <c r="E137" s="2">
        <f>21+3</f>
        <v>24</v>
      </c>
      <c r="F137" s="2">
        <f>281+573+564+630+493+496+471</f>
        <v>3508</v>
      </c>
      <c r="G137" s="3">
        <f t="shared" si="4"/>
        <v>146.16666666666666</v>
      </c>
    </row>
    <row r="138" spans="1:7" ht="15">
      <c r="A138" s="1">
        <f t="shared" si="3"/>
        <v>80</v>
      </c>
      <c r="B138" s="12" t="s">
        <v>151</v>
      </c>
      <c r="C138" s="12">
        <v>1987</v>
      </c>
      <c r="D138" s="12" t="s">
        <v>122</v>
      </c>
      <c r="E138" s="12">
        <f>8</f>
        <v>8</v>
      </c>
      <c r="F138" s="12">
        <f>1169</f>
        <v>1169</v>
      </c>
      <c r="G138" s="3">
        <f t="shared" si="4"/>
        <v>146.125</v>
      </c>
    </row>
    <row r="139" spans="1:7" ht="15">
      <c r="A139" s="1">
        <f t="shared" si="3"/>
        <v>81</v>
      </c>
      <c r="B139" s="2" t="s">
        <v>152</v>
      </c>
      <c r="C139" s="2">
        <v>1987</v>
      </c>
      <c r="D139" s="2" t="s">
        <v>102</v>
      </c>
      <c r="E139" s="2">
        <f>16+3+8</f>
        <v>27</v>
      </c>
      <c r="F139" s="2">
        <f>524+639+552+560+395+1273</f>
        <v>3943</v>
      </c>
      <c r="G139" s="3">
        <f t="shared" si="4"/>
        <v>146.03703703703704</v>
      </c>
    </row>
    <row r="140" spans="1:7" ht="15">
      <c r="A140" s="1">
        <f t="shared" si="3"/>
        <v>82</v>
      </c>
      <c r="B140" s="2" t="s">
        <v>153</v>
      </c>
      <c r="C140" s="2">
        <v>1986</v>
      </c>
      <c r="D140" s="2" t="s">
        <v>91</v>
      </c>
      <c r="E140" s="2">
        <f>20</f>
        <v>20</v>
      </c>
      <c r="F140" s="2">
        <f>2913</f>
        <v>2913</v>
      </c>
      <c r="G140" s="3">
        <f t="shared" si="4"/>
        <v>145.65</v>
      </c>
    </row>
    <row r="141" spans="1:7" ht="15">
      <c r="A141" s="1">
        <f t="shared" si="3"/>
        <v>83</v>
      </c>
      <c r="B141" s="2" t="s">
        <v>154</v>
      </c>
      <c r="C141" s="2">
        <v>1986</v>
      </c>
      <c r="D141" s="2" t="s">
        <v>64</v>
      </c>
      <c r="E141" s="2">
        <f>1+24+6+3+8</f>
        <v>42</v>
      </c>
      <c r="F141" s="2">
        <f>154+578+590+513+569+584+592+867+436+556+671</f>
        <v>6110</v>
      </c>
      <c r="G141" s="3">
        <f t="shared" si="4"/>
        <v>145.47619047619048</v>
      </c>
    </row>
    <row r="142" spans="1:7" ht="15">
      <c r="A142" s="1">
        <f t="shared" si="3"/>
        <v>84</v>
      </c>
      <c r="B142" s="2" t="s">
        <v>155</v>
      </c>
      <c r="C142" s="2">
        <v>1986</v>
      </c>
      <c r="D142" s="2" t="s">
        <v>25</v>
      </c>
      <c r="E142" s="2">
        <f>15+9+3+8</f>
        <v>35</v>
      </c>
      <c r="F142" s="2">
        <f>486+482+559+425+1381+478+571+705</f>
        <v>5087</v>
      </c>
      <c r="G142" s="3">
        <f t="shared" si="4"/>
        <v>145.34285714285716</v>
      </c>
    </row>
    <row r="143" spans="1:7" ht="15">
      <c r="A143" s="1">
        <f t="shared" si="3"/>
        <v>85</v>
      </c>
      <c r="B143" s="2" t="s">
        <v>156</v>
      </c>
      <c r="C143" s="2">
        <v>1986</v>
      </c>
      <c r="D143" s="2" t="s">
        <v>33</v>
      </c>
      <c r="E143" s="2">
        <f>8+13+3+8</f>
        <v>32</v>
      </c>
      <c r="F143" s="2">
        <f>438+566+471+499+372+659+515+530+588</f>
        <v>4638</v>
      </c>
      <c r="G143" s="3">
        <f t="shared" si="4"/>
        <v>144.9375</v>
      </c>
    </row>
    <row r="144" spans="1:7" ht="15">
      <c r="A144" s="1">
        <f t="shared" si="3"/>
        <v>86</v>
      </c>
      <c r="B144" s="2" t="s">
        <v>157</v>
      </c>
      <c r="C144" s="2">
        <v>1985</v>
      </c>
      <c r="D144" s="2" t="s">
        <v>21</v>
      </c>
      <c r="E144" s="2">
        <f>4+14</f>
        <v>18</v>
      </c>
      <c r="F144" s="2">
        <f>492+2116</f>
        <v>2608</v>
      </c>
      <c r="G144" s="3">
        <f t="shared" si="4"/>
        <v>144.88888888888889</v>
      </c>
    </row>
    <row r="145" spans="1:7" ht="15">
      <c r="A145" s="1">
        <f t="shared" si="3"/>
        <v>87</v>
      </c>
      <c r="B145" s="2" t="s">
        <v>158</v>
      </c>
      <c r="C145" s="2">
        <v>1987</v>
      </c>
      <c r="D145" s="2" t="s">
        <v>91</v>
      </c>
      <c r="E145" s="2">
        <f>4</f>
        <v>4</v>
      </c>
      <c r="F145" s="2">
        <f>579</f>
        <v>579</v>
      </c>
      <c r="G145" s="3">
        <f t="shared" si="4"/>
        <v>144.75</v>
      </c>
    </row>
    <row r="146" spans="1:7" ht="15">
      <c r="A146" s="1">
        <f t="shared" si="3"/>
        <v>88</v>
      </c>
      <c r="B146" s="2" t="s">
        <v>159</v>
      </c>
      <c r="C146" s="2">
        <v>1986</v>
      </c>
      <c r="D146" s="2" t="s">
        <v>64</v>
      </c>
      <c r="E146" s="2">
        <f>3+16+6+3+4</f>
        <v>32</v>
      </c>
      <c r="F146" s="2">
        <f>353+648+449+548+643+977+434+568</f>
        <v>4620</v>
      </c>
      <c r="G146" s="3">
        <f t="shared" si="4"/>
        <v>144.375</v>
      </c>
    </row>
    <row r="147" spans="1:7" ht="15">
      <c r="A147" s="1">
        <f t="shared" si="3"/>
        <v>89</v>
      </c>
      <c r="B147" s="2" t="s">
        <v>160</v>
      </c>
      <c r="C147" s="2">
        <v>1987</v>
      </c>
      <c r="D147" s="2" t="s">
        <v>25</v>
      </c>
      <c r="E147" s="2">
        <f>20+2+8</f>
        <v>30</v>
      </c>
      <c r="F147" s="2">
        <f>530+566+637+604+532+255+557+642</f>
        <v>4323</v>
      </c>
      <c r="G147" s="3">
        <f t="shared" si="4"/>
        <v>144.1</v>
      </c>
    </row>
    <row r="148" spans="1:7" ht="15">
      <c r="A148" s="1">
        <f t="shared" si="3"/>
        <v>90</v>
      </c>
      <c r="B148" s="2" t="s">
        <v>161</v>
      </c>
      <c r="C148" s="2">
        <v>1986</v>
      </c>
      <c r="D148" s="2" t="s">
        <v>102</v>
      </c>
      <c r="E148" s="2">
        <f>12</f>
        <v>12</v>
      </c>
      <c r="F148" s="2">
        <f>538+599+586</f>
        <v>1723</v>
      </c>
      <c r="G148" s="3">
        <f t="shared" si="4"/>
        <v>143.58333333333334</v>
      </c>
    </row>
    <row r="149" spans="1:7" ht="15">
      <c r="A149" s="1">
        <f t="shared" si="3"/>
        <v>91</v>
      </c>
      <c r="B149" s="2" t="s">
        <v>162</v>
      </c>
      <c r="C149" s="2">
        <v>1986</v>
      </c>
      <c r="D149" s="2" t="s">
        <v>25</v>
      </c>
      <c r="E149" s="2">
        <f>7+4+4+2</f>
        <v>17</v>
      </c>
      <c r="F149" s="2">
        <f>637+457+590+415+329</f>
        <v>2428</v>
      </c>
      <c r="G149" s="3">
        <f t="shared" si="4"/>
        <v>142.8235294117647</v>
      </c>
    </row>
    <row r="150" spans="1:7" ht="15">
      <c r="A150" s="1">
        <f t="shared" si="3"/>
        <v>92</v>
      </c>
      <c r="B150" s="2" t="s">
        <v>163</v>
      </c>
      <c r="C150" s="2">
        <v>1985</v>
      </c>
      <c r="D150" s="2" t="s">
        <v>102</v>
      </c>
      <c r="E150" s="2">
        <f>4+16+4+2+8</f>
        <v>34</v>
      </c>
      <c r="F150" s="2">
        <f>697+527+577+582+576+504+325+515+526</f>
        <v>4829</v>
      </c>
      <c r="G150" s="3">
        <f t="shared" si="4"/>
        <v>142.02941176470588</v>
      </c>
    </row>
    <row r="151" spans="1:7" ht="15">
      <c r="A151" s="1">
        <f t="shared" si="3"/>
        <v>93</v>
      </c>
      <c r="B151" s="2" t="s">
        <v>164</v>
      </c>
      <c r="C151" s="2">
        <v>1987</v>
      </c>
      <c r="D151" s="2" t="s">
        <v>25</v>
      </c>
      <c r="E151" s="2">
        <f>11+8</f>
        <v>19</v>
      </c>
      <c r="F151" s="2">
        <f>375+623+541+539+611</f>
        <v>2689</v>
      </c>
      <c r="G151" s="3">
        <f t="shared" si="4"/>
        <v>141.52631578947367</v>
      </c>
    </row>
    <row r="152" spans="1:7" ht="15">
      <c r="A152" s="1">
        <f t="shared" si="3"/>
        <v>94</v>
      </c>
      <c r="B152" s="2" t="s">
        <v>165</v>
      </c>
      <c r="C152" s="2">
        <v>1986</v>
      </c>
      <c r="D152" s="2" t="s">
        <v>142</v>
      </c>
      <c r="E152" s="2">
        <f>24+3+4</f>
        <v>31</v>
      </c>
      <c r="F152" s="2">
        <f>602+485+577+546+552+574+470+558</f>
        <v>4364</v>
      </c>
      <c r="G152" s="3">
        <f t="shared" si="4"/>
        <v>140.7741935483871</v>
      </c>
    </row>
    <row r="153" spans="1:7" ht="15">
      <c r="A153" s="1">
        <f t="shared" si="3"/>
        <v>95</v>
      </c>
      <c r="B153" s="2" t="s">
        <v>166</v>
      </c>
      <c r="C153" s="2">
        <v>1984</v>
      </c>
      <c r="D153" s="2" t="s">
        <v>25</v>
      </c>
      <c r="E153" s="2">
        <f>21+3+8</f>
        <v>32</v>
      </c>
      <c r="F153" s="2">
        <f>534+479+555+232+717+375+486+1123</f>
        <v>4501</v>
      </c>
      <c r="G153" s="3">
        <f t="shared" si="4"/>
        <v>140.65625</v>
      </c>
    </row>
    <row r="154" spans="1:7" ht="15">
      <c r="A154" s="1">
        <f t="shared" si="3"/>
        <v>96</v>
      </c>
      <c r="B154" s="2" t="s">
        <v>167</v>
      </c>
      <c r="C154" s="2">
        <v>1985</v>
      </c>
      <c r="D154" s="2" t="s">
        <v>25</v>
      </c>
      <c r="E154" s="2">
        <f>17+4+6+1</f>
        <v>28</v>
      </c>
      <c r="F154" s="2">
        <f>218+480+651+526+430+579+918+133</f>
        <v>3935</v>
      </c>
      <c r="G154" s="3">
        <f t="shared" si="4"/>
        <v>140.53571428571428</v>
      </c>
    </row>
    <row r="155" spans="1:7" ht="15">
      <c r="A155" s="1">
        <f t="shared" si="3"/>
        <v>97</v>
      </c>
      <c r="B155" s="2" t="s">
        <v>168</v>
      </c>
      <c r="C155" s="2">
        <v>1984</v>
      </c>
      <c r="D155" s="2" t="s">
        <v>36</v>
      </c>
      <c r="E155" s="2">
        <f>18+2+8</f>
        <v>28</v>
      </c>
      <c r="F155" s="2">
        <f>277+606+561+497+495+235+668+589</f>
        <v>3928</v>
      </c>
      <c r="G155" s="3">
        <f t="shared" si="4"/>
        <v>140.28571428571428</v>
      </c>
    </row>
    <row r="156" spans="1:7" ht="15">
      <c r="A156" s="1">
        <f t="shared" si="3"/>
        <v>98</v>
      </c>
      <c r="B156" s="2" t="s">
        <v>169</v>
      </c>
      <c r="C156" s="2">
        <v>1987</v>
      </c>
      <c r="D156" s="2" t="s">
        <v>21</v>
      </c>
      <c r="E156" s="2">
        <f>23+3</f>
        <v>26</v>
      </c>
      <c r="F156" s="2">
        <f>452+616+482+583+554+494+456</f>
        <v>3637</v>
      </c>
      <c r="G156" s="3">
        <f t="shared" si="4"/>
        <v>139.8846153846154</v>
      </c>
    </row>
    <row r="157" spans="1:7" ht="15">
      <c r="A157" s="1">
        <f t="shared" si="3"/>
        <v>99</v>
      </c>
      <c r="B157" s="12" t="s">
        <v>170</v>
      </c>
      <c r="C157" s="12">
        <v>1987</v>
      </c>
      <c r="D157" s="12" t="s">
        <v>122</v>
      </c>
      <c r="E157" s="12">
        <f>7</f>
        <v>7</v>
      </c>
      <c r="F157" s="12">
        <f>967</f>
        <v>967</v>
      </c>
      <c r="G157" s="3">
        <f t="shared" si="4"/>
        <v>138.14285714285714</v>
      </c>
    </row>
    <row r="158" spans="1:7" ht="15">
      <c r="A158" s="1">
        <f t="shared" si="3"/>
        <v>100</v>
      </c>
      <c r="B158" s="2" t="s">
        <v>171</v>
      </c>
      <c r="C158" s="2">
        <v>1987</v>
      </c>
      <c r="D158" s="2" t="s">
        <v>102</v>
      </c>
      <c r="E158" s="2">
        <f>16+3</f>
        <v>19</v>
      </c>
      <c r="F158" s="2">
        <f>532+558+544+634+351</f>
        <v>2619</v>
      </c>
      <c r="G158" s="3">
        <f t="shared" si="4"/>
        <v>137.8421052631579</v>
      </c>
    </row>
    <row r="159" spans="1:7" ht="15">
      <c r="A159" s="1">
        <f t="shared" si="3"/>
        <v>101</v>
      </c>
      <c r="B159" s="2" t="s">
        <v>172</v>
      </c>
      <c r="C159" s="2">
        <v>1986</v>
      </c>
      <c r="D159" s="2" t="s">
        <v>25</v>
      </c>
      <c r="E159" s="2">
        <f>20+8</f>
        <v>28</v>
      </c>
      <c r="F159" s="2">
        <f>218+597+511+383+533+448+498+662</f>
        <v>3850</v>
      </c>
      <c r="G159" s="3">
        <f t="shared" si="4"/>
        <v>137.5</v>
      </c>
    </row>
    <row r="160" spans="1:7" ht="15">
      <c r="A160" s="1">
        <f t="shared" si="3"/>
        <v>102</v>
      </c>
      <c r="B160" s="2" t="s">
        <v>173</v>
      </c>
      <c r="C160" s="2">
        <v>1987</v>
      </c>
      <c r="D160" s="2" t="s">
        <v>25</v>
      </c>
      <c r="E160" s="2">
        <f>23+3+8</f>
        <v>34</v>
      </c>
      <c r="F160" s="2">
        <f>579+595+559+539+638+348+372+521+521</f>
        <v>4672</v>
      </c>
      <c r="G160" s="3">
        <f t="shared" si="4"/>
        <v>137.41176470588235</v>
      </c>
    </row>
    <row r="161" spans="1:7" ht="15">
      <c r="A161" s="1">
        <f t="shared" si="3"/>
        <v>103</v>
      </c>
      <c r="B161" s="2" t="s">
        <v>174</v>
      </c>
      <c r="C161" s="2">
        <v>1987</v>
      </c>
      <c r="D161" s="2" t="s">
        <v>64</v>
      </c>
      <c r="E161" s="2">
        <f>8</f>
        <v>8</v>
      </c>
      <c r="F161" s="2">
        <f>409+306+382</f>
        <v>1097</v>
      </c>
      <c r="G161" s="3">
        <f t="shared" si="4"/>
        <v>137.125</v>
      </c>
    </row>
    <row r="162" spans="1:7" ht="15">
      <c r="A162" s="1">
        <f t="shared" si="3"/>
        <v>104</v>
      </c>
      <c r="B162" s="2" t="s">
        <v>175</v>
      </c>
      <c r="C162" s="2">
        <v>1986</v>
      </c>
      <c r="D162" s="2" t="s">
        <v>100</v>
      </c>
      <c r="E162" s="2">
        <f>16+12+3+8</f>
        <v>39</v>
      </c>
      <c r="F162" s="2">
        <f>429+554+605+545+541+489+607+428+519+607</f>
        <v>5324</v>
      </c>
      <c r="G162" s="3">
        <f t="shared" si="4"/>
        <v>136.51282051282053</v>
      </c>
    </row>
    <row r="163" spans="1:7" ht="15">
      <c r="A163" s="1">
        <f t="shared" si="3"/>
        <v>105</v>
      </c>
      <c r="B163" s="2" t="s">
        <v>176</v>
      </c>
      <c r="C163" s="2">
        <v>1987</v>
      </c>
      <c r="D163" s="2" t="s">
        <v>25</v>
      </c>
      <c r="E163" s="2">
        <f>13+3+8</f>
        <v>24</v>
      </c>
      <c r="F163" s="2">
        <f>526+584+418+269+420+534+520</f>
        <v>3271</v>
      </c>
      <c r="G163" s="3">
        <f t="shared" si="4"/>
        <v>136.29166666666666</v>
      </c>
    </row>
    <row r="164" spans="1:7" ht="15">
      <c r="A164" s="1">
        <f t="shared" si="3"/>
        <v>106</v>
      </c>
      <c r="B164" s="2" t="s">
        <v>177</v>
      </c>
      <c r="C164" s="2">
        <v>1987</v>
      </c>
      <c r="D164" s="2" t="s">
        <v>93</v>
      </c>
      <c r="E164" s="2">
        <f>7</f>
        <v>7</v>
      </c>
      <c r="F164" s="2">
        <f>952</f>
        <v>952</v>
      </c>
      <c r="G164" s="3">
        <f t="shared" si="4"/>
        <v>136</v>
      </c>
    </row>
    <row r="165" spans="1:7" ht="15">
      <c r="A165" s="1">
        <f t="shared" si="3"/>
        <v>107</v>
      </c>
      <c r="B165" s="2" t="s">
        <v>178</v>
      </c>
      <c r="C165" s="2">
        <v>1987</v>
      </c>
      <c r="D165" s="2" t="s">
        <v>122</v>
      </c>
      <c r="E165" s="2">
        <f>13</f>
        <v>13</v>
      </c>
      <c r="F165" s="2">
        <f>1760</f>
        <v>1760</v>
      </c>
      <c r="G165" s="3">
        <f t="shared" si="4"/>
        <v>135.3846153846154</v>
      </c>
    </row>
    <row r="166" spans="1:7" ht="15">
      <c r="A166" s="1">
        <f t="shared" si="3"/>
        <v>108</v>
      </c>
      <c r="B166" s="2" t="s">
        <v>179</v>
      </c>
      <c r="C166" s="2">
        <v>1984</v>
      </c>
      <c r="D166" s="2" t="s">
        <v>142</v>
      </c>
      <c r="E166" s="2">
        <f>24+3+4</f>
        <v>31</v>
      </c>
      <c r="F166" s="2">
        <f>510+440+630+571+574+492+506+470</f>
        <v>4193</v>
      </c>
      <c r="G166" s="3">
        <f t="shared" si="4"/>
        <v>135.25806451612902</v>
      </c>
    </row>
    <row r="167" spans="1:7" ht="15">
      <c r="A167" s="43">
        <f t="shared" si="3"/>
        <v>109</v>
      </c>
      <c r="B167" s="41" t="s">
        <v>180</v>
      </c>
      <c r="C167" s="41">
        <v>1985</v>
      </c>
      <c r="D167" s="41" t="s">
        <v>47</v>
      </c>
      <c r="E167" s="41">
        <f>24+3</f>
        <v>27</v>
      </c>
      <c r="F167" s="41">
        <f>622+525+510+528+484+596+378</f>
        <v>3643</v>
      </c>
      <c r="G167" s="42">
        <f t="shared" si="4"/>
        <v>134.92592592592592</v>
      </c>
    </row>
    <row r="168" spans="1:7" ht="15">
      <c r="A168" s="1">
        <f t="shared" si="3"/>
        <v>110</v>
      </c>
      <c r="B168" s="2" t="s">
        <v>181</v>
      </c>
      <c r="C168" s="2">
        <v>1986</v>
      </c>
      <c r="D168" s="2" t="s">
        <v>33</v>
      </c>
      <c r="E168" s="2">
        <f>7</f>
        <v>7</v>
      </c>
      <c r="F168" s="2">
        <f>377+566</f>
        <v>943</v>
      </c>
      <c r="G168" s="3">
        <f t="shared" si="4"/>
        <v>134.71428571428572</v>
      </c>
    </row>
    <row r="169" spans="1:7" ht="15">
      <c r="A169" s="1">
        <f t="shared" si="3"/>
        <v>111</v>
      </c>
      <c r="B169" s="2" t="s">
        <v>182</v>
      </c>
      <c r="C169" s="2">
        <v>1985</v>
      </c>
      <c r="D169" s="2" t="s">
        <v>93</v>
      </c>
      <c r="E169" s="2">
        <f>3</f>
        <v>3</v>
      </c>
      <c r="F169" s="2">
        <v>404</v>
      </c>
      <c r="G169" s="3">
        <f t="shared" si="4"/>
        <v>134.66666666666666</v>
      </c>
    </row>
    <row r="170" spans="1:7" ht="15">
      <c r="A170" s="1">
        <f t="shared" si="3"/>
        <v>112</v>
      </c>
      <c r="B170" s="2" t="s">
        <v>183</v>
      </c>
      <c r="C170" s="2">
        <v>1985</v>
      </c>
      <c r="D170" s="2" t="s">
        <v>25</v>
      </c>
      <c r="E170" s="2">
        <f>4</f>
        <v>4</v>
      </c>
      <c r="F170" s="2">
        <f>537</f>
        <v>537</v>
      </c>
      <c r="G170" s="3">
        <f t="shared" si="4"/>
        <v>134.25</v>
      </c>
    </row>
    <row r="171" spans="1:7" ht="15">
      <c r="A171" s="1">
        <f t="shared" si="3"/>
        <v>113</v>
      </c>
      <c r="B171" s="2" t="s">
        <v>184</v>
      </c>
      <c r="C171" s="2">
        <v>1985</v>
      </c>
      <c r="D171" s="2" t="s">
        <v>33</v>
      </c>
      <c r="E171" s="2">
        <f>7+3+8</f>
        <v>18</v>
      </c>
      <c r="F171" s="2">
        <f>354+570+421+1049</f>
        <v>2394</v>
      </c>
      <c r="G171" s="3">
        <f t="shared" si="4"/>
        <v>133</v>
      </c>
    </row>
    <row r="172" spans="1:7" ht="15">
      <c r="A172" s="1">
        <f t="shared" si="3"/>
        <v>114</v>
      </c>
      <c r="B172" s="2" t="s">
        <v>185</v>
      </c>
      <c r="C172" s="2">
        <v>1985</v>
      </c>
      <c r="D172" s="2" t="s">
        <v>25</v>
      </c>
      <c r="E172" s="2">
        <f>4</f>
        <v>4</v>
      </c>
      <c r="F172" s="2">
        <f>530</f>
        <v>530</v>
      </c>
      <c r="G172" s="3">
        <f t="shared" si="4"/>
        <v>132.5</v>
      </c>
    </row>
    <row r="173" spans="1:7" ht="15">
      <c r="A173" s="1">
        <f t="shared" si="3"/>
        <v>115</v>
      </c>
      <c r="B173" s="2" t="s">
        <v>186</v>
      </c>
      <c r="C173" s="2">
        <v>1987</v>
      </c>
      <c r="D173" s="2" t="s">
        <v>21</v>
      </c>
      <c r="E173" s="2">
        <f>17+2</f>
        <v>19</v>
      </c>
      <c r="F173" s="2">
        <f>360+622+414+500+399+221</f>
        <v>2516</v>
      </c>
      <c r="G173" s="3">
        <f t="shared" si="4"/>
        <v>132.42105263157896</v>
      </c>
    </row>
    <row r="174" spans="1:7" ht="15">
      <c r="A174" s="1">
        <f t="shared" si="3"/>
        <v>116</v>
      </c>
      <c r="B174" s="2" t="s">
        <v>187</v>
      </c>
      <c r="C174" s="2">
        <v>1986</v>
      </c>
      <c r="D174" s="2" t="s">
        <v>64</v>
      </c>
      <c r="E174" s="2">
        <f>15+6+3+8</f>
        <v>32</v>
      </c>
      <c r="F174" s="2">
        <f>567+537+378+537+764+406+513+526</f>
        <v>4228</v>
      </c>
      <c r="G174" s="3">
        <f t="shared" si="4"/>
        <v>132.125</v>
      </c>
    </row>
    <row r="175" spans="1:7" ht="15">
      <c r="A175" s="1">
        <f t="shared" si="3"/>
        <v>117</v>
      </c>
      <c r="B175" s="2" t="s">
        <v>188</v>
      </c>
      <c r="C175" s="2">
        <v>1986</v>
      </c>
      <c r="D175" s="2" t="s">
        <v>102</v>
      </c>
      <c r="E175" s="2">
        <f>14</f>
        <v>14</v>
      </c>
      <c r="F175" s="2">
        <f>556+496+389+402</f>
        <v>1843</v>
      </c>
      <c r="G175" s="3">
        <f t="shared" si="4"/>
        <v>131.64285714285714</v>
      </c>
    </row>
    <row r="176" spans="1:7" ht="15">
      <c r="A176" s="1">
        <f t="shared" si="3"/>
        <v>118</v>
      </c>
      <c r="B176" s="2" t="s">
        <v>189</v>
      </c>
      <c r="C176" s="2">
        <v>1987</v>
      </c>
      <c r="D176" s="2" t="s">
        <v>64</v>
      </c>
      <c r="E176" s="2">
        <f>4</f>
        <v>4</v>
      </c>
      <c r="F176" s="2">
        <f>522</f>
        <v>522</v>
      </c>
      <c r="G176" s="3">
        <f t="shared" si="4"/>
        <v>130.5</v>
      </c>
    </row>
    <row r="177" spans="1:7" ht="15">
      <c r="A177" s="1">
        <f t="shared" si="3"/>
        <v>119</v>
      </c>
      <c r="B177" s="2" t="s">
        <v>190</v>
      </c>
      <c r="C177" s="2">
        <v>1987</v>
      </c>
      <c r="D177" s="2" t="s">
        <v>91</v>
      </c>
      <c r="E177" s="2">
        <f>13</f>
        <v>13</v>
      </c>
      <c r="F177" s="2">
        <f>1685</f>
        <v>1685</v>
      </c>
      <c r="G177" s="3">
        <f t="shared" si="4"/>
        <v>129.6153846153846</v>
      </c>
    </row>
    <row r="178" spans="1:7" ht="15">
      <c r="A178" s="1">
        <f t="shared" si="3"/>
        <v>120</v>
      </c>
      <c r="B178" s="2" t="s">
        <v>191</v>
      </c>
      <c r="C178" s="2">
        <v>1986</v>
      </c>
      <c r="D178" s="2" t="s">
        <v>52</v>
      </c>
      <c r="E178" s="2">
        <f>17+3+4</f>
        <v>24</v>
      </c>
      <c r="F178" s="2">
        <f>525+386+181+516+486+219+285+505</f>
        <v>3103</v>
      </c>
      <c r="G178" s="3">
        <f t="shared" si="4"/>
        <v>129.29166666666666</v>
      </c>
    </row>
    <row r="179" spans="1:7" ht="15">
      <c r="A179" s="1">
        <f t="shared" si="3"/>
        <v>121</v>
      </c>
      <c r="B179" s="2" t="s">
        <v>192</v>
      </c>
      <c r="C179" s="2">
        <v>1985</v>
      </c>
      <c r="D179" s="2" t="s">
        <v>80</v>
      </c>
      <c r="E179" s="2">
        <f>4</f>
        <v>4</v>
      </c>
      <c r="F179" s="2">
        <f>514</f>
        <v>514</v>
      </c>
      <c r="G179" s="3">
        <f t="shared" si="4"/>
        <v>128.5</v>
      </c>
    </row>
    <row r="180" spans="1:7" ht="15">
      <c r="A180" s="1">
        <f t="shared" si="3"/>
        <v>122</v>
      </c>
      <c r="B180" s="2" t="s">
        <v>193</v>
      </c>
      <c r="C180" s="2">
        <v>1984</v>
      </c>
      <c r="D180" s="2" t="s">
        <v>25</v>
      </c>
      <c r="E180" s="2">
        <f>2+4</f>
        <v>6</v>
      </c>
      <c r="F180" s="2">
        <f>272+498</f>
        <v>770</v>
      </c>
      <c r="G180" s="3">
        <f t="shared" si="4"/>
        <v>128.33333333333334</v>
      </c>
    </row>
    <row r="181" spans="1:7" ht="15">
      <c r="A181" s="1">
        <f t="shared" si="3"/>
        <v>123</v>
      </c>
      <c r="B181" s="2" t="s">
        <v>194</v>
      </c>
      <c r="C181" s="2">
        <v>1987</v>
      </c>
      <c r="D181" s="2" t="s">
        <v>64</v>
      </c>
      <c r="E181" s="2">
        <f>20+3+4</f>
        <v>27</v>
      </c>
      <c r="F181" s="2">
        <f>522+560+500+504+452+447+469</f>
        <v>3454</v>
      </c>
      <c r="G181" s="3">
        <f t="shared" si="4"/>
        <v>127.92592592592592</v>
      </c>
    </row>
    <row r="182" spans="1:7" ht="15">
      <c r="A182" s="1">
        <f t="shared" si="3"/>
        <v>124</v>
      </c>
      <c r="B182" s="12" t="s">
        <v>195</v>
      </c>
      <c r="C182" s="12">
        <v>1986</v>
      </c>
      <c r="D182" s="12" t="s">
        <v>102</v>
      </c>
      <c r="E182" s="2">
        <f>4+16+2</f>
        <v>22</v>
      </c>
      <c r="F182" s="2">
        <f>523+494+494+562+482+259</f>
        <v>2814</v>
      </c>
      <c r="G182" s="3">
        <f t="shared" si="4"/>
        <v>127.9090909090909</v>
      </c>
    </row>
    <row r="183" spans="1:7" ht="15">
      <c r="A183" s="1">
        <f t="shared" si="3"/>
        <v>125</v>
      </c>
      <c r="B183" s="2" t="s">
        <v>196</v>
      </c>
      <c r="C183" s="2">
        <v>1986</v>
      </c>
      <c r="D183" s="2" t="s">
        <v>100</v>
      </c>
      <c r="E183" s="2">
        <f>20+8</f>
        <v>28</v>
      </c>
      <c r="F183" s="2">
        <f>505+465+464+469+544+565+550</f>
        <v>3562</v>
      </c>
      <c r="G183" s="3">
        <f t="shared" si="4"/>
        <v>127.21428571428571</v>
      </c>
    </row>
    <row r="184" spans="1:7" ht="15">
      <c r="A184" s="1">
        <f t="shared" si="3"/>
        <v>126</v>
      </c>
      <c r="B184" s="2" t="s">
        <v>197</v>
      </c>
      <c r="C184" s="2">
        <v>1987</v>
      </c>
      <c r="D184" s="2" t="s">
        <v>21</v>
      </c>
      <c r="E184" s="2">
        <f>22+2+4</f>
        <v>28</v>
      </c>
      <c r="F184" s="2">
        <f>363+588+534+500+383+482+269+440</f>
        <v>3559</v>
      </c>
      <c r="G184" s="3">
        <f t="shared" si="4"/>
        <v>127.10714285714286</v>
      </c>
    </row>
    <row r="185" spans="1:7" ht="15">
      <c r="A185" s="1">
        <f t="shared" si="3"/>
        <v>127</v>
      </c>
      <c r="B185" s="2" t="s">
        <v>198</v>
      </c>
      <c r="C185" s="2">
        <v>1987</v>
      </c>
      <c r="D185" s="2" t="s">
        <v>25</v>
      </c>
      <c r="E185" s="2">
        <f>4</f>
        <v>4</v>
      </c>
      <c r="F185" s="2">
        <f>508</f>
        <v>508</v>
      </c>
      <c r="G185" s="3">
        <f t="shared" si="4"/>
        <v>127</v>
      </c>
    </row>
    <row r="186" spans="1:7" ht="15">
      <c r="A186" s="1">
        <f t="shared" si="3"/>
        <v>128</v>
      </c>
      <c r="B186" s="2" t="s">
        <v>199</v>
      </c>
      <c r="C186" s="2">
        <v>1987</v>
      </c>
      <c r="D186" s="2" t="s">
        <v>25</v>
      </c>
      <c r="E186" s="2">
        <f>18+3</f>
        <v>21</v>
      </c>
      <c r="F186" s="2">
        <f>346+414+423+475+550+458</f>
        <v>2666</v>
      </c>
      <c r="G186" s="3">
        <f t="shared" si="4"/>
        <v>126.95238095238095</v>
      </c>
    </row>
    <row r="187" spans="1:7" ht="15">
      <c r="A187" s="1">
        <f>A186+1</f>
        <v>129</v>
      </c>
      <c r="B187" s="2" t="s">
        <v>200</v>
      </c>
      <c r="C187" s="2">
        <v>1986</v>
      </c>
      <c r="D187" s="2" t="s">
        <v>21</v>
      </c>
      <c r="E187" s="2">
        <f>18+3+4</f>
        <v>25</v>
      </c>
      <c r="F187" s="2">
        <f>497+323+370+529+526+339+565</f>
        <v>3149</v>
      </c>
      <c r="G187" s="3">
        <f t="shared" si="4"/>
        <v>125.96</v>
      </c>
    </row>
    <row r="188" spans="1:7" ht="15">
      <c r="A188" s="1">
        <f>A187+1</f>
        <v>130</v>
      </c>
      <c r="B188" s="2" t="s">
        <v>201</v>
      </c>
      <c r="C188" s="2">
        <v>1986</v>
      </c>
      <c r="D188" s="2" t="s">
        <v>25</v>
      </c>
      <c r="E188" s="2">
        <f>3+4+4+3+4</f>
        <v>18</v>
      </c>
      <c r="F188" s="2">
        <f>412+511+439+400+493</f>
        <v>2255</v>
      </c>
      <c r="G188" s="3">
        <f t="shared" si="4"/>
        <v>125.27777777777777</v>
      </c>
    </row>
    <row r="189" spans="1:7" ht="15">
      <c r="A189" s="1">
        <f>A188+1</f>
        <v>131</v>
      </c>
      <c r="B189" s="2" t="s">
        <v>202</v>
      </c>
      <c r="C189" s="2">
        <v>1986</v>
      </c>
      <c r="D189" s="2" t="s">
        <v>64</v>
      </c>
      <c r="E189" s="2">
        <f>20+9+3+8</f>
        <v>40</v>
      </c>
      <c r="F189" s="2">
        <f>529+471+533+493+434+1095+472+511+438</f>
        <v>4976</v>
      </c>
      <c r="G189" s="3">
        <f aca="true" t="shared" si="5" ref="G189:G209">F189/E189</f>
        <v>124.4</v>
      </c>
    </row>
    <row r="190" spans="1:7" ht="15">
      <c r="A190" s="43">
        <f>A189+1</f>
        <v>132</v>
      </c>
      <c r="B190" s="41" t="s">
        <v>203</v>
      </c>
      <c r="C190" s="41">
        <v>1986</v>
      </c>
      <c r="D190" s="41" t="s">
        <v>47</v>
      </c>
      <c r="E190" s="41">
        <f>3+4</f>
        <v>7</v>
      </c>
      <c r="F190" s="41">
        <f>413+449</f>
        <v>862</v>
      </c>
      <c r="G190" s="42">
        <f t="shared" si="5"/>
        <v>123.14285714285714</v>
      </c>
    </row>
    <row r="191" spans="1:7" ht="15">
      <c r="A191" s="1">
        <f>A190+1</f>
        <v>133</v>
      </c>
      <c r="B191" s="2" t="s">
        <v>204</v>
      </c>
      <c r="C191" s="2">
        <v>1986</v>
      </c>
      <c r="D191" s="2" t="s">
        <v>64</v>
      </c>
      <c r="E191" s="2">
        <f>24+3+4</f>
        <v>31</v>
      </c>
      <c r="F191" s="2">
        <f>499+473+497+533+522+435+398+438</f>
        <v>3795</v>
      </c>
      <c r="G191" s="3">
        <f t="shared" si="5"/>
        <v>122.41935483870968</v>
      </c>
    </row>
    <row r="192" spans="1:7" ht="15">
      <c r="A192" s="1">
        <v>142</v>
      </c>
      <c r="B192" s="2" t="s">
        <v>205</v>
      </c>
      <c r="C192" s="2">
        <v>1986</v>
      </c>
      <c r="D192" s="2" t="s">
        <v>52</v>
      </c>
      <c r="E192" s="2">
        <f>20+3+4</f>
        <v>27</v>
      </c>
      <c r="F192" s="2">
        <f>440+524+463+442+504+445+484</f>
        <v>3302</v>
      </c>
      <c r="G192" s="3">
        <f t="shared" si="5"/>
        <v>122.29629629629629</v>
      </c>
    </row>
    <row r="193" spans="1:7" ht="15">
      <c r="A193" s="1">
        <v>143</v>
      </c>
      <c r="B193" s="2" t="s">
        <v>206</v>
      </c>
      <c r="C193" s="2">
        <v>1986</v>
      </c>
      <c r="D193" s="2" t="s">
        <v>102</v>
      </c>
      <c r="E193" s="2">
        <f>19</f>
        <v>19</v>
      </c>
      <c r="F193" s="2">
        <f>459+382+463+509+507</f>
        <v>2320</v>
      </c>
      <c r="G193" s="3">
        <f t="shared" si="5"/>
        <v>122.10526315789474</v>
      </c>
    </row>
    <row r="194" spans="1:7" ht="15">
      <c r="A194" s="1">
        <v>144</v>
      </c>
      <c r="B194" s="2" t="s">
        <v>207</v>
      </c>
      <c r="C194" s="2">
        <v>1987</v>
      </c>
      <c r="D194" s="2" t="s">
        <v>25</v>
      </c>
      <c r="E194" s="2">
        <f>9+3+4+3</f>
        <v>19</v>
      </c>
      <c r="F194" s="2">
        <f>240+421+400+375+418+451</f>
        <v>2305</v>
      </c>
      <c r="G194" s="3">
        <f t="shared" si="5"/>
        <v>121.3157894736842</v>
      </c>
    </row>
    <row r="195" spans="1:7" ht="15">
      <c r="A195" s="1">
        <v>145</v>
      </c>
      <c r="B195" s="2" t="s">
        <v>208</v>
      </c>
      <c r="C195" s="2">
        <v>1986</v>
      </c>
      <c r="D195" s="2" t="s">
        <v>131</v>
      </c>
      <c r="E195" s="2">
        <f>20</f>
        <v>20</v>
      </c>
      <c r="F195" s="2">
        <f>499+529+524+465+407</f>
        <v>2424</v>
      </c>
      <c r="G195" s="3">
        <f t="shared" si="5"/>
        <v>121.2</v>
      </c>
    </row>
    <row r="196" spans="1:7" ht="15">
      <c r="A196" s="1">
        <v>146</v>
      </c>
      <c r="B196" s="2" t="s">
        <v>209</v>
      </c>
      <c r="C196" s="2">
        <v>1986</v>
      </c>
      <c r="D196" s="2" t="s">
        <v>33</v>
      </c>
      <c r="E196" s="2">
        <f>8+3</f>
        <v>11</v>
      </c>
      <c r="F196" s="2">
        <f>377+498+457</f>
        <v>1332</v>
      </c>
      <c r="G196" s="3">
        <f t="shared" si="5"/>
        <v>121.0909090909091</v>
      </c>
    </row>
    <row r="197" spans="1:7" ht="15">
      <c r="A197" s="1">
        <v>147</v>
      </c>
      <c r="B197" s="2" t="s">
        <v>210</v>
      </c>
      <c r="C197" s="2">
        <v>1985</v>
      </c>
      <c r="D197" s="2" t="s">
        <v>21</v>
      </c>
      <c r="E197" s="2">
        <f>3</f>
        <v>3</v>
      </c>
      <c r="F197" s="2">
        <f>363</f>
        <v>363</v>
      </c>
      <c r="G197" s="3">
        <f t="shared" si="5"/>
        <v>121</v>
      </c>
    </row>
    <row r="198" spans="1:7" ht="15">
      <c r="A198" s="1">
        <v>148</v>
      </c>
      <c r="B198" s="2" t="s">
        <v>211</v>
      </c>
      <c r="C198" s="2">
        <v>1987</v>
      </c>
      <c r="D198" s="2" t="s">
        <v>25</v>
      </c>
      <c r="E198" s="2">
        <f>15</f>
        <v>15</v>
      </c>
      <c r="F198" s="2">
        <f>474+401+475+442</f>
        <v>1792</v>
      </c>
      <c r="G198" s="3">
        <f t="shared" si="5"/>
        <v>119.46666666666667</v>
      </c>
    </row>
    <row r="199" spans="1:7" ht="15">
      <c r="A199" s="1">
        <v>149</v>
      </c>
      <c r="B199" s="2" t="s">
        <v>212</v>
      </c>
      <c r="C199" s="2">
        <v>1985</v>
      </c>
      <c r="D199" s="2" t="s">
        <v>33</v>
      </c>
      <c r="E199" s="2">
        <f>19+8</f>
        <v>27</v>
      </c>
      <c r="F199" s="2">
        <f>141+373+388+235+457+593+474+556</f>
        <v>3217</v>
      </c>
      <c r="G199" s="3">
        <f t="shared" si="5"/>
        <v>119.14814814814815</v>
      </c>
    </row>
    <row r="200" spans="1:7" ht="15">
      <c r="A200" s="1">
        <v>150</v>
      </c>
      <c r="B200" s="2" t="s">
        <v>213</v>
      </c>
      <c r="C200" s="2">
        <v>1987</v>
      </c>
      <c r="D200" s="2" t="s">
        <v>25</v>
      </c>
      <c r="E200" s="2">
        <f>13</f>
        <v>13</v>
      </c>
      <c r="F200" s="2">
        <f>372+230+476+455</f>
        <v>1533</v>
      </c>
      <c r="G200" s="3">
        <f t="shared" si="5"/>
        <v>117.92307692307692</v>
      </c>
    </row>
    <row r="201" spans="1:7" ht="15">
      <c r="A201" s="1">
        <v>151</v>
      </c>
      <c r="B201" s="2" t="s">
        <v>214</v>
      </c>
      <c r="C201" s="2">
        <v>1987</v>
      </c>
      <c r="D201" s="2" t="s">
        <v>21</v>
      </c>
      <c r="E201" s="2">
        <f>15+3</f>
        <v>18</v>
      </c>
      <c r="F201" s="2">
        <f>408+359+481+438+408</f>
        <v>2094</v>
      </c>
      <c r="G201" s="3">
        <f t="shared" si="5"/>
        <v>116.33333333333333</v>
      </c>
    </row>
    <row r="202" spans="1:7" ht="15">
      <c r="A202" s="5">
        <v>152</v>
      </c>
      <c r="B202" s="2" t="s">
        <v>215</v>
      </c>
      <c r="C202" s="2">
        <v>1986</v>
      </c>
      <c r="D202" s="2" t="s">
        <v>52</v>
      </c>
      <c r="E202" s="2">
        <f>18+2+4</f>
        <v>24</v>
      </c>
      <c r="F202" s="2">
        <f>500+302+373+369+391+273+538</f>
        <v>2746</v>
      </c>
      <c r="G202" s="3">
        <f t="shared" si="5"/>
        <v>114.41666666666667</v>
      </c>
    </row>
    <row r="203" spans="1:7" ht="15">
      <c r="A203" s="5">
        <v>153</v>
      </c>
      <c r="B203" s="2" t="s">
        <v>216</v>
      </c>
      <c r="C203" s="2">
        <v>1985</v>
      </c>
      <c r="D203" s="2" t="s">
        <v>33</v>
      </c>
      <c r="E203" s="2">
        <f>6+3</f>
        <v>9</v>
      </c>
      <c r="F203" s="2">
        <f>444+169+402</f>
        <v>1015</v>
      </c>
      <c r="G203" s="3">
        <f t="shared" si="5"/>
        <v>112.77777777777777</v>
      </c>
    </row>
    <row r="204" spans="1:7" ht="15">
      <c r="A204" s="5">
        <v>154</v>
      </c>
      <c r="B204" s="2" t="s">
        <v>217</v>
      </c>
      <c r="C204" s="2">
        <v>1987</v>
      </c>
      <c r="D204" s="2" t="s">
        <v>25</v>
      </c>
      <c r="E204" s="2">
        <f>13+3</f>
        <v>16</v>
      </c>
      <c r="F204" s="2">
        <f>430+208+442+323+358</f>
        <v>1761</v>
      </c>
      <c r="G204" s="3">
        <f t="shared" si="5"/>
        <v>110.0625</v>
      </c>
    </row>
    <row r="205" spans="1:7" ht="15">
      <c r="A205" s="5">
        <v>155</v>
      </c>
      <c r="B205" s="2" t="s">
        <v>218</v>
      </c>
      <c r="C205" s="2">
        <v>1987</v>
      </c>
      <c r="D205" s="2" t="s">
        <v>52</v>
      </c>
      <c r="E205" s="2">
        <f>4+3</f>
        <v>7</v>
      </c>
      <c r="F205" s="2">
        <f>426+332</f>
        <v>758</v>
      </c>
      <c r="G205" s="3">
        <f t="shared" si="5"/>
        <v>108.28571428571429</v>
      </c>
    </row>
    <row r="206" spans="1:7" ht="15">
      <c r="A206" s="5">
        <v>156</v>
      </c>
      <c r="B206" s="2" t="s">
        <v>219</v>
      </c>
      <c r="C206" s="2">
        <v>1986</v>
      </c>
      <c r="D206" s="2" t="s">
        <v>52</v>
      </c>
      <c r="E206" s="2">
        <f>15+3</f>
        <v>18</v>
      </c>
      <c r="F206" s="2">
        <f>420+314+443+367+403</f>
        <v>1947</v>
      </c>
      <c r="G206" s="3">
        <f t="shared" si="5"/>
        <v>108.16666666666667</v>
      </c>
    </row>
    <row r="207" spans="1:7" ht="15">
      <c r="A207" s="5">
        <v>157</v>
      </c>
      <c r="B207" s="2" t="s">
        <v>220</v>
      </c>
      <c r="C207" s="2">
        <v>1985</v>
      </c>
      <c r="D207" s="2" t="s">
        <v>64</v>
      </c>
      <c r="E207" s="2">
        <f>4</f>
        <v>4</v>
      </c>
      <c r="F207" s="2">
        <f>414</f>
        <v>414</v>
      </c>
      <c r="G207" s="3">
        <f t="shared" si="5"/>
        <v>103.5</v>
      </c>
    </row>
    <row r="208" spans="1:7" ht="15">
      <c r="A208" s="5">
        <v>158</v>
      </c>
      <c r="B208" s="2" t="s">
        <v>221</v>
      </c>
      <c r="C208" s="2">
        <v>1986</v>
      </c>
      <c r="D208" s="2" t="s">
        <v>25</v>
      </c>
      <c r="E208" s="2">
        <f>4+3+3+3</f>
        <v>13</v>
      </c>
      <c r="F208" s="2">
        <f>354+310+319+304</f>
        <v>1287</v>
      </c>
      <c r="G208" s="3">
        <f t="shared" si="5"/>
        <v>99</v>
      </c>
    </row>
    <row r="209" spans="1:7" ht="15">
      <c r="A209" s="5">
        <v>159</v>
      </c>
      <c r="B209" s="2" t="s">
        <v>222</v>
      </c>
      <c r="C209" s="2">
        <v>1986</v>
      </c>
      <c r="D209" s="2" t="s">
        <v>33</v>
      </c>
      <c r="E209" s="2">
        <f>4</f>
        <v>4</v>
      </c>
      <c r="F209" s="2">
        <f>364</f>
        <v>364</v>
      </c>
      <c r="G209" s="3">
        <f t="shared" si="5"/>
        <v>91</v>
      </c>
    </row>
    <row r="210" spans="1:7" ht="15">
      <c r="A210" s="5"/>
      <c r="B210" s="2"/>
      <c r="C210" s="2"/>
      <c r="D210" s="2"/>
      <c r="E210" s="2"/>
      <c r="F210" s="2"/>
      <c r="G210" s="3"/>
    </row>
    <row r="211" spans="1:7" ht="15">
      <c r="A211" s="5"/>
      <c r="B211" s="2"/>
      <c r="C211" s="2"/>
      <c r="D211" s="2"/>
      <c r="E211" s="2"/>
      <c r="F211" s="2"/>
      <c r="G211" s="3"/>
    </row>
    <row r="212" spans="1:7" ht="15">
      <c r="A212" s="5"/>
      <c r="B212" s="2"/>
      <c r="C212" s="2"/>
      <c r="D212" s="2"/>
      <c r="E212" s="2"/>
      <c r="F212" s="2"/>
      <c r="G212" s="3"/>
    </row>
    <row r="213" spans="1:7" ht="15.75" thickBot="1">
      <c r="A213" s="5"/>
      <c r="B213" s="2"/>
      <c r="C213" s="2"/>
      <c r="D213" s="2"/>
      <c r="E213" s="2"/>
      <c r="F213" s="2"/>
      <c r="G213" s="3"/>
    </row>
    <row r="214" spans="1:7" ht="21" thickBot="1">
      <c r="A214" s="5"/>
      <c r="B214" s="11" t="s">
        <v>223</v>
      </c>
      <c r="C214" s="2"/>
      <c r="D214" s="2"/>
      <c r="E214" s="2"/>
      <c r="F214" s="2"/>
      <c r="G214" s="3"/>
    </row>
    <row r="215" spans="1:7" ht="15">
      <c r="A215" s="5"/>
      <c r="B215" s="2"/>
      <c r="C215" s="2"/>
      <c r="D215" s="2"/>
      <c r="E215" s="2"/>
      <c r="F215" s="2"/>
      <c r="G215" s="3"/>
    </row>
    <row r="216" spans="1:7" ht="15">
      <c r="A216" s="5"/>
      <c r="B216" s="2"/>
      <c r="C216" s="2"/>
      <c r="D216" s="2"/>
      <c r="E216" s="2"/>
      <c r="F216" s="2"/>
      <c r="G216" s="3"/>
    </row>
    <row r="217" spans="1:7" ht="15">
      <c r="A217" s="5">
        <v>1</v>
      </c>
      <c r="B217" s="2" t="s">
        <v>224</v>
      </c>
      <c r="C217" s="2">
        <v>1988</v>
      </c>
      <c r="D217" s="2" t="s">
        <v>58</v>
      </c>
      <c r="E217" s="2">
        <f>18+6+3+14</f>
        <v>41</v>
      </c>
      <c r="F217" s="2">
        <f>687+500+464+619+707+1086+505+1113+696+591</f>
        <v>6968</v>
      </c>
      <c r="G217" s="3">
        <f aca="true" t="shared" si="6" ref="G217:G280">F217/E217</f>
        <v>169.9512195121951</v>
      </c>
    </row>
    <row r="218" spans="1:7" ht="15">
      <c r="A218" s="40">
        <f>A217+1</f>
        <v>2</v>
      </c>
      <c r="B218" s="41" t="s">
        <v>225</v>
      </c>
      <c r="C218" s="41">
        <v>1989</v>
      </c>
      <c r="D218" s="41" t="s">
        <v>47</v>
      </c>
      <c r="E218" s="41">
        <f>24+11+3+14</f>
        <v>52</v>
      </c>
      <c r="F218" s="41">
        <f>725+572+603+655+708+697+472+652+454+464+623+649+1036</f>
        <v>8310</v>
      </c>
      <c r="G218" s="42">
        <f t="shared" si="6"/>
        <v>159.80769230769232</v>
      </c>
    </row>
    <row r="219" spans="1:7" ht="15">
      <c r="A219" s="5">
        <f aca="true" t="shared" si="7" ref="A219:A282">A218+1</f>
        <v>3</v>
      </c>
      <c r="B219" s="2" t="s">
        <v>226</v>
      </c>
      <c r="C219" s="2">
        <v>1988</v>
      </c>
      <c r="D219" s="2" t="s">
        <v>16</v>
      </c>
      <c r="E219" s="2">
        <f>16+3+14</f>
        <v>33</v>
      </c>
      <c r="F219" s="2">
        <f>604+625+571+578+542+613+591+1061</f>
        <v>5185</v>
      </c>
      <c r="G219" s="3">
        <f t="shared" si="6"/>
        <v>157.12121212121212</v>
      </c>
    </row>
    <row r="220" spans="1:7" ht="15">
      <c r="A220" s="5">
        <f t="shared" si="7"/>
        <v>4</v>
      </c>
      <c r="B220" s="2" t="s">
        <v>227</v>
      </c>
      <c r="C220" s="2">
        <v>1988</v>
      </c>
      <c r="D220" s="2" t="s">
        <v>25</v>
      </c>
      <c r="E220" s="2">
        <f>24+6+3+8</f>
        <v>41</v>
      </c>
      <c r="F220" s="2">
        <f>663+572+597+558+642+693+889+437+1269</f>
        <v>6320</v>
      </c>
      <c r="G220" s="3">
        <f t="shared" si="6"/>
        <v>154.14634146341464</v>
      </c>
    </row>
    <row r="221" spans="1:7" ht="15">
      <c r="A221" s="5">
        <f t="shared" si="7"/>
        <v>5</v>
      </c>
      <c r="B221" s="2" t="s">
        <v>228</v>
      </c>
      <c r="C221" s="2">
        <v>1988</v>
      </c>
      <c r="D221" s="2" t="s">
        <v>80</v>
      </c>
      <c r="E221" s="2">
        <f>20</f>
        <v>20</v>
      </c>
      <c r="F221" s="2">
        <f>3078</f>
        <v>3078</v>
      </c>
      <c r="G221" s="3">
        <f t="shared" si="6"/>
        <v>153.9</v>
      </c>
    </row>
    <row r="222" spans="1:7" ht="15">
      <c r="A222" s="40">
        <f t="shared" si="7"/>
        <v>6</v>
      </c>
      <c r="B222" s="41" t="s">
        <v>229</v>
      </c>
      <c r="C222" s="41">
        <v>1988</v>
      </c>
      <c r="D222" s="41" t="s">
        <v>47</v>
      </c>
      <c r="E222" s="41">
        <f>24+3+14</f>
        <v>41</v>
      </c>
      <c r="F222" s="41">
        <f>634+563+477+605+718+616+492+604+566+912</f>
        <v>6187</v>
      </c>
      <c r="G222" s="42">
        <f t="shared" si="6"/>
        <v>150.90243902439025</v>
      </c>
    </row>
    <row r="223" spans="1:7" ht="15">
      <c r="A223" s="40">
        <f t="shared" si="7"/>
        <v>7</v>
      </c>
      <c r="B223" s="41" t="s">
        <v>230</v>
      </c>
      <c r="C223" s="41">
        <v>1988</v>
      </c>
      <c r="D223" s="41" t="s">
        <v>47</v>
      </c>
      <c r="E223" s="41">
        <f>22+3+14</f>
        <v>39</v>
      </c>
      <c r="F223" s="41">
        <f>523+614+595+497+398+422+520+583+686+1039</f>
        <v>5877</v>
      </c>
      <c r="G223" s="42">
        <f t="shared" si="6"/>
        <v>150.69230769230768</v>
      </c>
    </row>
    <row r="224" spans="1:7" ht="15">
      <c r="A224" s="5">
        <f t="shared" si="7"/>
        <v>8</v>
      </c>
      <c r="B224" s="2" t="s">
        <v>231</v>
      </c>
      <c r="C224" s="2">
        <v>1989</v>
      </c>
      <c r="D224" s="2" t="s">
        <v>232</v>
      </c>
      <c r="E224" s="2">
        <f>14</f>
        <v>14</v>
      </c>
      <c r="F224" s="2">
        <v>2106</v>
      </c>
      <c r="G224" s="3">
        <f t="shared" si="6"/>
        <v>150.42857142857142</v>
      </c>
    </row>
    <row r="225" spans="1:7" ht="15">
      <c r="A225" s="5">
        <f t="shared" si="7"/>
        <v>9</v>
      </c>
      <c r="B225" s="2" t="s">
        <v>233</v>
      </c>
      <c r="C225" s="2">
        <v>1990</v>
      </c>
      <c r="D225" s="2" t="s">
        <v>234</v>
      </c>
      <c r="E225" s="2">
        <f>17</f>
        <v>17</v>
      </c>
      <c r="F225" s="2">
        <f>2521</f>
        <v>2521</v>
      </c>
      <c r="G225" s="3">
        <f t="shared" si="6"/>
        <v>148.2941176470588</v>
      </c>
    </row>
    <row r="226" spans="1:7" ht="15">
      <c r="A226" s="5">
        <f t="shared" si="7"/>
        <v>10</v>
      </c>
      <c r="B226" s="2" t="s">
        <v>235</v>
      </c>
      <c r="C226" s="2">
        <v>1989</v>
      </c>
      <c r="D226" s="2" t="s">
        <v>52</v>
      </c>
      <c r="E226" s="2">
        <f>16+3+14</f>
        <v>33</v>
      </c>
      <c r="F226" s="2">
        <f>433+372+442+469+527+474+2138</f>
        <v>4855</v>
      </c>
      <c r="G226" s="3">
        <f t="shared" si="6"/>
        <v>147.12121212121212</v>
      </c>
    </row>
    <row r="227" spans="1:7" ht="15">
      <c r="A227" s="5">
        <f t="shared" si="7"/>
        <v>11</v>
      </c>
      <c r="B227" s="2" t="s">
        <v>236</v>
      </c>
      <c r="C227" s="2">
        <v>1988</v>
      </c>
      <c r="D227" s="2" t="s">
        <v>62</v>
      </c>
      <c r="E227" s="2">
        <f>19+3</f>
        <v>22</v>
      </c>
      <c r="F227" s="2">
        <f>2654+582</f>
        <v>3236</v>
      </c>
      <c r="G227" s="3">
        <f t="shared" si="6"/>
        <v>147.0909090909091</v>
      </c>
    </row>
    <row r="228" spans="1:7" ht="15">
      <c r="A228" s="5">
        <f t="shared" si="7"/>
        <v>12</v>
      </c>
      <c r="B228" s="2" t="s">
        <v>237</v>
      </c>
      <c r="C228" s="2">
        <v>1989</v>
      </c>
      <c r="D228" s="2" t="s">
        <v>36</v>
      </c>
      <c r="E228" s="2">
        <f>24+2+14</f>
        <v>40</v>
      </c>
      <c r="F228" s="2">
        <f>713+543+641+461+645+512+385+947+526+496</f>
        <v>5869</v>
      </c>
      <c r="G228" s="3">
        <f t="shared" si="6"/>
        <v>146.725</v>
      </c>
    </row>
    <row r="229" spans="1:7" ht="15">
      <c r="A229" s="5">
        <f t="shared" si="7"/>
        <v>13</v>
      </c>
      <c r="B229" s="2" t="s">
        <v>238</v>
      </c>
      <c r="C229" s="2">
        <v>1988</v>
      </c>
      <c r="D229" s="2" t="s">
        <v>52</v>
      </c>
      <c r="E229" s="2">
        <f>15+3</f>
        <v>18</v>
      </c>
      <c r="F229" s="2">
        <f>187+492+235+322+374+567+459</f>
        <v>2636</v>
      </c>
      <c r="G229" s="3">
        <f t="shared" si="6"/>
        <v>146.44444444444446</v>
      </c>
    </row>
    <row r="230" spans="1:7" ht="15">
      <c r="A230" s="5">
        <f t="shared" si="7"/>
        <v>14</v>
      </c>
      <c r="B230" s="2" t="s">
        <v>239</v>
      </c>
      <c r="C230" s="2">
        <v>1990</v>
      </c>
      <c r="D230" s="2" t="s">
        <v>234</v>
      </c>
      <c r="E230" s="2">
        <f>13</f>
        <v>13</v>
      </c>
      <c r="F230" s="2">
        <f>1903</f>
        <v>1903</v>
      </c>
      <c r="G230" s="3">
        <f t="shared" si="6"/>
        <v>146.3846153846154</v>
      </c>
    </row>
    <row r="231" spans="1:7" ht="15">
      <c r="A231" s="5">
        <f t="shared" si="7"/>
        <v>15</v>
      </c>
      <c r="B231" s="2" t="s">
        <v>240</v>
      </c>
      <c r="C231" s="2">
        <v>1988</v>
      </c>
      <c r="D231" s="2" t="s">
        <v>25</v>
      </c>
      <c r="E231" s="2">
        <f>11+3+3</f>
        <v>17</v>
      </c>
      <c r="F231" s="2">
        <f>590+181+551+218+444+502</f>
        <v>2486</v>
      </c>
      <c r="G231" s="3">
        <f t="shared" si="6"/>
        <v>146.23529411764707</v>
      </c>
    </row>
    <row r="232" spans="1:7" ht="15">
      <c r="A232" s="5">
        <f t="shared" si="7"/>
        <v>16</v>
      </c>
      <c r="B232" s="2" t="s">
        <v>241</v>
      </c>
      <c r="C232" s="2">
        <v>1988</v>
      </c>
      <c r="D232" s="2" t="s">
        <v>25</v>
      </c>
      <c r="E232" s="2">
        <f>11+1+4</f>
        <v>16</v>
      </c>
      <c r="F232" s="2">
        <f>630+489+641+116+457</f>
        <v>2333</v>
      </c>
      <c r="G232" s="3">
        <f t="shared" si="6"/>
        <v>145.8125</v>
      </c>
    </row>
    <row r="233" spans="1:7" ht="15">
      <c r="A233" s="5">
        <f t="shared" si="7"/>
        <v>17</v>
      </c>
      <c r="B233" s="2" t="s">
        <v>242</v>
      </c>
      <c r="C233" s="2">
        <v>1988</v>
      </c>
      <c r="D233" s="2" t="s">
        <v>25</v>
      </c>
      <c r="E233" s="2">
        <f>3+3+3+3</f>
        <v>12</v>
      </c>
      <c r="F233" s="2">
        <f>432+500+407+399</f>
        <v>1738</v>
      </c>
      <c r="G233" s="3">
        <f t="shared" si="6"/>
        <v>144.83333333333334</v>
      </c>
    </row>
    <row r="234" spans="1:7" ht="15">
      <c r="A234" s="5">
        <f t="shared" si="7"/>
        <v>18</v>
      </c>
      <c r="B234" s="2" t="s">
        <v>243</v>
      </c>
      <c r="C234" s="2">
        <v>1988</v>
      </c>
      <c r="D234" s="2" t="s">
        <v>25</v>
      </c>
      <c r="E234" s="2">
        <f>17+3+8</f>
        <v>28</v>
      </c>
      <c r="F234" s="2">
        <f>283+610+602+528+407+456+1134</f>
        <v>4020</v>
      </c>
      <c r="G234" s="3">
        <f t="shared" si="6"/>
        <v>143.57142857142858</v>
      </c>
    </row>
    <row r="235" spans="1:7" ht="15">
      <c r="A235" s="40">
        <f t="shared" si="7"/>
        <v>19</v>
      </c>
      <c r="B235" s="41" t="s">
        <v>244</v>
      </c>
      <c r="C235" s="41">
        <v>1990</v>
      </c>
      <c r="D235" s="41" t="s">
        <v>47</v>
      </c>
      <c r="E235" s="41">
        <f>8+18+3+4</f>
        <v>33</v>
      </c>
      <c r="F235" s="41">
        <f>556+605+384+595+539+433+571+444+558</f>
        <v>4685</v>
      </c>
      <c r="G235" s="42">
        <f t="shared" si="6"/>
        <v>141.96969696969697</v>
      </c>
    </row>
    <row r="236" spans="1:7" ht="15">
      <c r="A236" s="5">
        <f t="shared" si="7"/>
        <v>20</v>
      </c>
      <c r="B236" s="2" t="s">
        <v>245</v>
      </c>
      <c r="C236" s="2">
        <v>1989</v>
      </c>
      <c r="D236" s="2" t="s">
        <v>25</v>
      </c>
      <c r="E236" s="2">
        <f>15+3+14</f>
        <v>32</v>
      </c>
      <c r="F236" s="2">
        <f>515+456+431+599+443+641+620+815</f>
        <v>4520</v>
      </c>
      <c r="G236" s="3">
        <f t="shared" si="6"/>
        <v>141.25</v>
      </c>
    </row>
    <row r="237" spans="1:7" ht="15">
      <c r="A237" s="5">
        <f t="shared" si="7"/>
        <v>21</v>
      </c>
      <c r="B237" s="2" t="s">
        <v>246</v>
      </c>
      <c r="C237" s="2">
        <v>1988</v>
      </c>
      <c r="D237" s="2" t="s">
        <v>131</v>
      </c>
      <c r="E237" s="2">
        <f>4</f>
        <v>4</v>
      </c>
      <c r="F237" s="2">
        <v>564</v>
      </c>
      <c r="G237" s="3">
        <f t="shared" si="6"/>
        <v>141</v>
      </c>
    </row>
    <row r="238" spans="1:7" ht="15">
      <c r="A238" s="5">
        <f t="shared" si="7"/>
        <v>22</v>
      </c>
      <c r="B238" s="2" t="s">
        <v>247</v>
      </c>
      <c r="C238" s="2">
        <v>1990</v>
      </c>
      <c r="D238" s="2" t="s">
        <v>16</v>
      </c>
      <c r="E238" s="2">
        <f>2+15+3+3+14</f>
        <v>37</v>
      </c>
      <c r="F238" s="2">
        <f>249+479+391+607+432+459+434+533+662+947</f>
        <v>5193</v>
      </c>
      <c r="G238" s="3">
        <f t="shared" si="6"/>
        <v>140.35135135135135</v>
      </c>
    </row>
    <row r="239" spans="1:7" ht="15">
      <c r="A239" s="5">
        <f t="shared" si="7"/>
        <v>23</v>
      </c>
      <c r="B239" s="2" t="s">
        <v>248</v>
      </c>
      <c r="C239" s="2">
        <v>1989</v>
      </c>
      <c r="D239" s="2" t="s">
        <v>80</v>
      </c>
      <c r="E239" s="2">
        <f>24</f>
        <v>24</v>
      </c>
      <c r="F239" s="2">
        <f>3364</f>
        <v>3364</v>
      </c>
      <c r="G239" s="3">
        <f t="shared" si="6"/>
        <v>140.16666666666666</v>
      </c>
    </row>
    <row r="240" spans="1:7" ht="15">
      <c r="A240" s="5">
        <f t="shared" si="7"/>
        <v>24</v>
      </c>
      <c r="B240" s="2" t="s">
        <v>249</v>
      </c>
      <c r="C240" s="2">
        <v>1989</v>
      </c>
      <c r="D240" s="2" t="s">
        <v>64</v>
      </c>
      <c r="E240" s="2">
        <f>4+18+3+14</f>
        <v>39</v>
      </c>
      <c r="F240" s="2">
        <f>533+524+444+394+535+601+487+588+506+852</f>
        <v>5464</v>
      </c>
      <c r="G240" s="3">
        <f t="shared" si="6"/>
        <v>140.10256410256412</v>
      </c>
    </row>
    <row r="241" spans="1:7" ht="15">
      <c r="A241" s="5">
        <f t="shared" si="7"/>
        <v>25</v>
      </c>
      <c r="B241" s="2" t="s">
        <v>250</v>
      </c>
      <c r="C241" s="2">
        <v>1988</v>
      </c>
      <c r="D241" s="2" t="s">
        <v>62</v>
      </c>
      <c r="E241" s="2">
        <f>4</f>
        <v>4</v>
      </c>
      <c r="F241" s="2">
        <f>558</f>
        <v>558</v>
      </c>
      <c r="G241" s="3">
        <f t="shared" si="6"/>
        <v>139.5</v>
      </c>
    </row>
    <row r="242" spans="1:7" ht="15">
      <c r="A242" s="5">
        <f t="shared" si="7"/>
        <v>26</v>
      </c>
      <c r="B242" s="2" t="s">
        <v>251</v>
      </c>
      <c r="C242" s="2">
        <v>1988</v>
      </c>
      <c r="D242" s="2" t="s">
        <v>52</v>
      </c>
      <c r="E242" s="2">
        <f>16+3+14</f>
        <v>33</v>
      </c>
      <c r="F242" s="2">
        <f>247+524+327+345+538+493+2121</f>
        <v>4595</v>
      </c>
      <c r="G242" s="3">
        <f t="shared" si="6"/>
        <v>139.24242424242425</v>
      </c>
    </row>
    <row r="243" spans="1:7" ht="15">
      <c r="A243" s="5">
        <f t="shared" si="7"/>
        <v>27</v>
      </c>
      <c r="B243" s="2" t="s">
        <v>252</v>
      </c>
      <c r="C243" s="2">
        <v>1989</v>
      </c>
      <c r="D243" s="2" t="s">
        <v>80</v>
      </c>
      <c r="E243" s="2">
        <f>4</f>
        <v>4</v>
      </c>
      <c r="F243" s="2">
        <f>554</f>
        <v>554</v>
      </c>
      <c r="G243" s="3">
        <f t="shared" si="6"/>
        <v>138.5</v>
      </c>
    </row>
    <row r="244" spans="1:7" ht="15">
      <c r="A244" s="5">
        <f t="shared" si="7"/>
        <v>28</v>
      </c>
      <c r="B244" s="12" t="s">
        <v>253</v>
      </c>
      <c r="C244" s="12">
        <v>1988</v>
      </c>
      <c r="D244" s="12" t="s">
        <v>52</v>
      </c>
      <c r="E244" s="2">
        <f>15+3+14</f>
        <v>32</v>
      </c>
      <c r="F244" s="2">
        <f>257+417+204+545+384+421+1385+814</f>
        <v>4427</v>
      </c>
      <c r="G244" s="3">
        <f t="shared" si="6"/>
        <v>138.34375</v>
      </c>
    </row>
    <row r="245" spans="1:7" ht="15">
      <c r="A245" s="5">
        <f t="shared" si="7"/>
        <v>29</v>
      </c>
      <c r="B245" s="2" t="s">
        <v>254</v>
      </c>
      <c r="C245" s="2">
        <v>1988</v>
      </c>
      <c r="D245" s="2" t="s">
        <v>255</v>
      </c>
      <c r="E245" s="2">
        <f>18+3+8</f>
        <v>29</v>
      </c>
      <c r="F245" s="2">
        <f>481+497+458+448+374+479+644+626</f>
        <v>4007</v>
      </c>
      <c r="G245" s="3">
        <f t="shared" si="6"/>
        <v>138.17241379310346</v>
      </c>
    </row>
    <row r="246" spans="1:7" ht="15">
      <c r="A246" s="5">
        <f t="shared" si="7"/>
        <v>30</v>
      </c>
      <c r="B246" s="2" t="s">
        <v>256</v>
      </c>
      <c r="C246" s="2">
        <v>1990</v>
      </c>
      <c r="D246" s="2" t="s">
        <v>234</v>
      </c>
      <c r="E246" s="2">
        <f>27</f>
        <v>27</v>
      </c>
      <c r="F246" s="2">
        <f>3712</f>
        <v>3712</v>
      </c>
      <c r="G246" s="3">
        <f t="shared" si="6"/>
        <v>137.4814814814815</v>
      </c>
    </row>
    <row r="247" spans="1:7" ht="15">
      <c r="A247" s="5">
        <f t="shared" si="7"/>
        <v>31</v>
      </c>
      <c r="B247" s="2" t="s">
        <v>257</v>
      </c>
      <c r="C247" s="2">
        <v>1989</v>
      </c>
      <c r="D247" s="2" t="s">
        <v>258</v>
      </c>
      <c r="E247" s="2">
        <f>8</f>
        <v>8</v>
      </c>
      <c r="F247" s="2">
        <f>504+588</f>
        <v>1092</v>
      </c>
      <c r="G247" s="3">
        <f t="shared" si="6"/>
        <v>136.5</v>
      </c>
    </row>
    <row r="248" spans="1:7" ht="15">
      <c r="A248" s="5">
        <f t="shared" si="7"/>
        <v>32</v>
      </c>
      <c r="B248" s="2" t="s">
        <v>259</v>
      </c>
      <c r="C248" s="2">
        <v>1988</v>
      </c>
      <c r="D248" s="2" t="s">
        <v>95</v>
      </c>
      <c r="E248" s="2">
        <f>24+3</f>
        <v>27</v>
      </c>
      <c r="F248" s="2">
        <f>567+443+606+536+497+577+427</f>
        <v>3653</v>
      </c>
      <c r="G248" s="3">
        <f t="shared" si="6"/>
        <v>135.2962962962963</v>
      </c>
    </row>
    <row r="249" spans="1:7" ht="15">
      <c r="A249" s="5">
        <f t="shared" si="7"/>
        <v>33</v>
      </c>
      <c r="B249" s="2" t="s">
        <v>260</v>
      </c>
      <c r="C249" s="2">
        <v>1988</v>
      </c>
      <c r="D249" s="2" t="s">
        <v>25</v>
      </c>
      <c r="E249" s="2">
        <f>12+2</f>
        <v>14</v>
      </c>
      <c r="F249" s="2">
        <f>447+247+553+372+274</f>
        <v>1893</v>
      </c>
      <c r="G249" s="3">
        <f t="shared" si="6"/>
        <v>135.21428571428572</v>
      </c>
    </row>
    <row r="250" spans="1:7" ht="15">
      <c r="A250" s="5">
        <f t="shared" si="7"/>
        <v>34</v>
      </c>
      <c r="B250" s="2" t="s">
        <v>261</v>
      </c>
      <c r="C250" s="2">
        <v>1988</v>
      </c>
      <c r="D250" s="2" t="s">
        <v>21</v>
      </c>
      <c r="E250" s="2">
        <f>18+3</f>
        <v>21</v>
      </c>
      <c r="F250" s="2">
        <f>459+499+370+499+514+472</f>
        <v>2813</v>
      </c>
      <c r="G250" s="3">
        <f t="shared" si="6"/>
        <v>133.95238095238096</v>
      </c>
    </row>
    <row r="251" spans="1:7" ht="15">
      <c r="A251" s="5">
        <f t="shared" si="7"/>
        <v>35</v>
      </c>
      <c r="B251" s="2" t="s">
        <v>262</v>
      </c>
      <c r="C251" s="2">
        <v>1988</v>
      </c>
      <c r="D251" s="2" t="s">
        <v>131</v>
      </c>
      <c r="E251" s="2">
        <f>24+3+4</f>
        <v>31</v>
      </c>
      <c r="F251" s="2">
        <f>466+572+559+483+592+535+430+510</f>
        <v>4147</v>
      </c>
      <c r="G251" s="3">
        <f t="shared" si="6"/>
        <v>133.7741935483871</v>
      </c>
    </row>
    <row r="252" spans="1:7" ht="15">
      <c r="A252" s="5">
        <f t="shared" si="7"/>
        <v>36</v>
      </c>
      <c r="B252" s="2" t="s">
        <v>263</v>
      </c>
      <c r="C252" s="2">
        <v>1990</v>
      </c>
      <c r="D252" s="2" t="s">
        <v>234</v>
      </c>
      <c r="E252" s="2">
        <f>14</f>
        <v>14</v>
      </c>
      <c r="F252" s="2">
        <f>1870</f>
        <v>1870</v>
      </c>
      <c r="G252" s="3">
        <f t="shared" si="6"/>
        <v>133.57142857142858</v>
      </c>
    </row>
    <row r="253" spans="1:7" ht="15">
      <c r="A253" s="5">
        <f t="shared" si="7"/>
        <v>37</v>
      </c>
      <c r="B253" s="2" t="s">
        <v>264</v>
      </c>
      <c r="C253" s="2">
        <v>1990</v>
      </c>
      <c r="D253" s="2" t="s">
        <v>52</v>
      </c>
      <c r="E253" s="2">
        <f>2+14</f>
        <v>16</v>
      </c>
      <c r="F253" s="2">
        <f>281+500+591+764</f>
        <v>2136</v>
      </c>
      <c r="G253" s="3">
        <f t="shared" si="6"/>
        <v>133.5</v>
      </c>
    </row>
    <row r="254" spans="1:7" ht="15">
      <c r="A254" s="5">
        <f t="shared" si="7"/>
        <v>38</v>
      </c>
      <c r="B254" s="2" t="s">
        <v>265</v>
      </c>
      <c r="C254" s="2">
        <v>1990</v>
      </c>
      <c r="D254" s="2" t="s">
        <v>80</v>
      </c>
      <c r="E254" s="2">
        <f>3</f>
        <v>3</v>
      </c>
      <c r="F254" s="2">
        <f>399</f>
        <v>399</v>
      </c>
      <c r="G254" s="3">
        <f t="shared" si="6"/>
        <v>133</v>
      </c>
    </row>
    <row r="255" spans="1:7" ht="15">
      <c r="A255" s="40">
        <f t="shared" si="7"/>
        <v>39</v>
      </c>
      <c r="B255" s="41" t="s">
        <v>266</v>
      </c>
      <c r="C255" s="41">
        <v>1988</v>
      </c>
      <c r="D255" s="41" t="s">
        <v>47</v>
      </c>
      <c r="E255" s="41">
        <f>13+3+8</f>
        <v>24</v>
      </c>
      <c r="F255" s="41">
        <f>440+405+423+90+277+446+509+572</f>
        <v>3162</v>
      </c>
      <c r="G255" s="42">
        <f t="shared" si="6"/>
        <v>131.75</v>
      </c>
    </row>
    <row r="256" spans="1:7" ht="15">
      <c r="A256" s="40">
        <f t="shared" si="7"/>
        <v>40</v>
      </c>
      <c r="B256" s="41" t="s">
        <v>267</v>
      </c>
      <c r="C256" s="41">
        <v>1989</v>
      </c>
      <c r="D256" s="41" t="s">
        <v>47</v>
      </c>
      <c r="E256" s="41">
        <f>8+3+8</f>
        <v>19</v>
      </c>
      <c r="F256" s="41">
        <f>491+536+456+485+531</f>
        <v>2499</v>
      </c>
      <c r="G256" s="42">
        <f t="shared" si="6"/>
        <v>131.52631578947367</v>
      </c>
    </row>
    <row r="257" spans="1:7" ht="15">
      <c r="A257" s="5">
        <f t="shared" si="7"/>
        <v>41</v>
      </c>
      <c r="B257" s="2" t="s">
        <v>268</v>
      </c>
      <c r="C257" s="2">
        <v>1991</v>
      </c>
      <c r="D257" s="2" t="s">
        <v>25</v>
      </c>
      <c r="E257" s="2">
        <f>16+3+14</f>
        <v>33</v>
      </c>
      <c r="F257" s="2">
        <f>531+459+552+468+447+554+526+785</f>
        <v>4322</v>
      </c>
      <c r="G257" s="3">
        <f t="shared" si="6"/>
        <v>130.96969696969697</v>
      </c>
    </row>
    <row r="258" spans="1:7" ht="15">
      <c r="A258" s="5">
        <f t="shared" si="7"/>
        <v>42</v>
      </c>
      <c r="B258" s="2" t="s">
        <v>269</v>
      </c>
      <c r="C258" s="2">
        <v>1989</v>
      </c>
      <c r="D258" s="2" t="s">
        <v>52</v>
      </c>
      <c r="E258" s="2">
        <f>14</f>
        <v>14</v>
      </c>
      <c r="F258" s="2">
        <f>584+554+692</f>
        <v>1830</v>
      </c>
      <c r="G258" s="3">
        <f t="shared" si="6"/>
        <v>130.71428571428572</v>
      </c>
    </row>
    <row r="259" spans="1:7" ht="15">
      <c r="A259" s="5">
        <f t="shared" si="7"/>
        <v>43</v>
      </c>
      <c r="B259" s="12" t="s">
        <v>270</v>
      </c>
      <c r="C259" s="12">
        <v>1990</v>
      </c>
      <c r="D259" s="12" t="s">
        <v>122</v>
      </c>
      <c r="E259" s="12">
        <f>8</f>
        <v>8</v>
      </c>
      <c r="F259" s="12">
        <v>1036</v>
      </c>
      <c r="G259" s="3">
        <f t="shared" si="6"/>
        <v>129.5</v>
      </c>
    </row>
    <row r="260" spans="1:7" ht="15">
      <c r="A260" s="5">
        <f t="shared" si="7"/>
        <v>44</v>
      </c>
      <c r="B260" s="2" t="s">
        <v>271</v>
      </c>
      <c r="C260" s="2">
        <v>1991</v>
      </c>
      <c r="D260" s="2" t="s">
        <v>234</v>
      </c>
      <c r="E260" s="2">
        <f>1</f>
        <v>1</v>
      </c>
      <c r="F260" s="2">
        <f>129</f>
        <v>129</v>
      </c>
      <c r="G260" s="3">
        <f t="shared" si="6"/>
        <v>129</v>
      </c>
    </row>
    <row r="261" spans="1:7" ht="15">
      <c r="A261" s="5">
        <f t="shared" si="7"/>
        <v>45</v>
      </c>
      <c r="B261" s="2" t="s">
        <v>272</v>
      </c>
      <c r="C261" s="2">
        <v>1990</v>
      </c>
      <c r="D261" s="2" t="s">
        <v>16</v>
      </c>
      <c r="E261" s="2">
        <f>11+3+3+8</f>
        <v>25</v>
      </c>
      <c r="F261" s="2">
        <f>227+380+283+406+418+385+616+506</f>
        <v>3221</v>
      </c>
      <c r="G261" s="3">
        <f t="shared" si="6"/>
        <v>128.84</v>
      </c>
    </row>
    <row r="262" spans="1:7" ht="15">
      <c r="A262" s="5">
        <f t="shared" si="7"/>
        <v>46</v>
      </c>
      <c r="B262" s="2" t="s">
        <v>273</v>
      </c>
      <c r="C262" s="2">
        <v>1988</v>
      </c>
      <c r="D262" s="2" t="s">
        <v>52</v>
      </c>
      <c r="E262" s="2">
        <f>14+2+14</f>
        <v>30</v>
      </c>
      <c r="F262" s="2">
        <f>380+379+287+397+389+245+1787</f>
        <v>3864</v>
      </c>
      <c r="G262" s="3">
        <f t="shared" si="6"/>
        <v>128.8</v>
      </c>
    </row>
    <row r="263" spans="1:7" ht="15">
      <c r="A263" s="5">
        <f t="shared" si="7"/>
        <v>47</v>
      </c>
      <c r="B263" s="2" t="s">
        <v>274</v>
      </c>
      <c r="C263" s="2">
        <v>1989</v>
      </c>
      <c r="D263" s="2" t="s">
        <v>102</v>
      </c>
      <c r="E263" s="2">
        <f>4+16+3</f>
        <v>23</v>
      </c>
      <c r="F263" s="2">
        <f>481+384+435+390+314+491+450</f>
        <v>2945</v>
      </c>
      <c r="G263" s="3">
        <f t="shared" si="6"/>
        <v>128.04347826086956</v>
      </c>
    </row>
    <row r="264" spans="1:7" ht="15">
      <c r="A264" s="5">
        <f t="shared" si="7"/>
        <v>48</v>
      </c>
      <c r="B264" s="2" t="s">
        <v>275</v>
      </c>
      <c r="C264" s="2">
        <v>1990</v>
      </c>
      <c r="D264" s="2" t="s">
        <v>16</v>
      </c>
      <c r="E264" s="2">
        <f>15+2+3+8</f>
        <v>28</v>
      </c>
      <c r="F264" s="2">
        <f>471+517+331+498+255+398+549+555</f>
        <v>3574</v>
      </c>
      <c r="G264" s="3">
        <f t="shared" si="6"/>
        <v>127.64285714285714</v>
      </c>
    </row>
    <row r="265" spans="1:7" ht="15">
      <c r="A265" s="5">
        <f t="shared" si="7"/>
        <v>49</v>
      </c>
      <c r="B265" s="2" t="s">
        <v>276</v>
      </c>
      <c r="C265" s="2">
        <v>1990</v>
      </c>
      <c r="D265" s="2" t="s">
        <v>64</v>
      </c>
      <c r="E265" s="2">
        <f>17+6+2+14</f>
        <v>39</v>
      </c>
      <c r="F265" s="2">
        <f>472+339+394+355+556+857+182+501+539+779</f>
        <v>4974</v>
      </c>
      <c r="G265" s="3">
        <f t="shared" si="6"/>
        <v>127.53846153846153</v>
      </c>
    </row>
    <row r="266" spans="1:7" ht="15">
      <c r="A266" s="5">
        <f t="shared" si="7"/>
        <v>50</v>
      </c>
      <c r="B266" s="2" t="s">
        <v>277</v>
      </c>
      <c r="C266" s="2">
        <v>1992</v>
      </c>
      <c r="D266" s="2" t="s">
        <v>21</v>
      </c>
      <c r="E266" s="2">
        <f>8</f>
        <v>8</v>
      </c>
      <c r="F266" s="2">
        <f>441+574</f>
        <v>1015</v>
      </c>
      <c r="G266" s="3">
        <f t="shared" si="6"/>
        <v>126.875</v>
      </c>
    </row>
    <row r="267" spans="1:7" ht="15">
      <c r="A267" s="5">
        <f t="shared" si="7"/>
        <v>51</v>
      </c>
      <c r="B267" s="2" t="s">
        <v>278</v>
      </c>
      <c r="C267" s="2">
        <v>1988</v>
      </c>
      <c r="D267" s="2" t="s">
        <v>21</v>
      </c>
      <c r="E267" s="2">
        <f>23+3+4</f>
        <v>30</v>
      </c>
      <c r="F267" s="2">
        <f>455+498+522+550+418+432+425+498</f>
        <v>3798</v>
      </c>
      <c r="G267" s="3">
        <f t="shared" si="6"/>
        <v>126.6</v>
      </c>
    </row>
    <row r="268" spans="1:7" ht="15">
      <c r="A268" s="5">
        <f t="shared" si="7"/>
        <v>52</v>
      </c>
      <c r="B268" s="2" t="s">
        <v>279</v>
      </c>
      <c r="C268" s="2">
        <v>1988</v>
      </c>
      <c r="D268" s="2" t="s">
        <v>64</v>
      </c>
      <c r="E268" s="2">
        <f>9+4+8</f>
        <v>21</v>
      </c>
      <c r="F268" s="2">
        <f>553+564+81+424+512+522</f>
        <v>2656</v>
      </c>
      <c r="G268" s="3">
        <f t="shared" si="6"/>
        <v>126.47619047619048</v>
      </c>
    </row>
    <row r="269" spans="1:7" ht="15">
      <c r="A269" s="5">
        <f t="shared" si="7"/>
        <v>53</v>
      </c>
      <c r="B269" s="2" t="s">
        <v>280</v>
      </c>
      <c r="C269" s="2">
        <v>1990</v>
      </c>
      <c r="D269" s="2" t="s">
        <v>52</v>
      </c>
      <c r="E269" s="2">
        <f>17+2+14</f>
        <v>33</v>
      </c>
      <c r="F269" s="2">
        <f>376+539+359+376+375+304+1065+773</f>
        <v>4167</v>
      </c>
      <c r="G269" s="3">
        <f t="shared" si="6"/>
        <v>126.27272727272727</v>
      </c>
    </row>
    <row r="270" spans="1:7" ht="15">
      <c r="A270" s="5">
        <f t="shared" si="7"/>
        <v>54</v>
      </c>
      <c r="B270" s="2" t="s">
        <v>281</v>
      </c>
      <c r="C270" s="2">
        <v>1990</v>
      </c>
      <c r="D270" s="2" t="s">
        <v>234</v>
      </c>
      <c r="E270" s="2">
        <f>15</f>
        <v>15</v>
      </c>
      <c r="F270" s="2">
        <f>1878</f>
        <v>1878</v>
      </c>
      <c r="G270" s="3">
        <f t="shared" si="6"/>
        <v>125.2</v>
      </c>
    </row>
    <row r="271" spans="1:7" ht="15">
      <c r="A271" s="5">
        <f t="shared" si="7"/>
        <v>55</v>
      </c>
      <c r="B271" s="2" t="s">
        <v>282</v>
      </c>
      <c r="C271" s="2">
        <v>1989</v>
      </c>
      <c r="D271" s="2" t="s">
        <v>255</v>
      </c>
      <c r="E271" s="2">
        <f>2+4</f>
        <v>6</v>
      </c>
      <c r="F271" s="2">
        <f>253+495</f>
        <v>748</v>
      </c>
      <c r="G271" s="3">
        <f t="shared" si="6"/>
        <v>124.66666666666667</v>
      </c>
    </row>
    <row r="272" spans="1:7" ht="15">
      <c r="A272" s="5">
        <f t="shared" si="7"/>
        <v>56</v>
      </c>
      <c r="B272" s="2" t="s">
        <v>283</v>
      </c>
      <c r="C272" s="2">
        <v>1989</v>
      </c>
      <c r="D272" s="2" t="s">
        <v>122</v>
      </c>
      <c r="E272" s="2">
        <f>3</f>
        <v>3</v>
      </c>
      <c r="F272" s="2">
        <f>372</f>
        <v>372</v>
      </c>
      <c r="G272" s="3">
        <f t="shared" si="6"/>
        <v>124</v>
      </c>
    </row>
    <row r="273" spans="1:7" ht="15">
      <c r="A273" s="40">
        <f t="shared" si="7"/>
        <v>57</v>
      </c>
      <c r="B273" s="41" t="s">
        <v>284</v>
      </c>
      <c r="C273" s="41">
        <v>1989</v>
      </c>
      <c r="D273" s="41" t="s">
        <v>47</v>
      </c>
      <c r="E273" s="41">
        <f>4+3+8</f>
        <v>15</v>
      </c>
      <c r="F273" s="41">
        <f>372+418+515+554</f>
        <v>1859</v>
      </c>
      <c r="G273" s="42">
        <f t="shared" si="6"/>
        <v>123.93333333333334</v>
      </c>
    </row>
    <row r="274" spans="1:7" ht="15">
      <c r="A274" s="5">
        <f t="shared" si="7"/>
        <v>58</v>
      </c>
      <c r="B274" s="2" t="s">
        <v>285</v>
      </c>
      <c r="C274" s="2">
        <v>1989</v>
      </c>
      <c r="D274" s="2" t="s">
        <v>36</v>
      </c>
      <c r="E274" s="2">
        <f>18+2+4</f>
        <v>24</v>
      </c>
      <c r="F274" s="2">
        <f>146+523+547+625+443+229+440</f>
        <v>2953</v>
      </c>
      <c r="G274" s="3">
        <f t="shared" si="6"/>
        <v>123.04166666666667</v>
      </c>
    </row>
    <row r="275" spans="1:7" ht="15">
      <c r="A275" s="5">
        <f t="shared" si="7"/>
        <v>59</v>
      </c>
      <c r="B275" s="2" t="s">
        <v>286</v>
      </c>
      <c r="C275" s="2">
        <v>1989</v>
      </c>
      <c r="D275" s="2" t="s">
        <v>102</v>
      </c>
      <c r="E275" s="2">
        <f>8+8+3</f>
        <v>19</v>
      </c>
      <c r="F275" s="2">
        <f>455+458+336+289+422+376</f>
        <v>2336</v>
      </c>
      <c r="G275" s="3">
        <f t="shared" si="6"/>
        <v>122.94736842105263</v>
      </c>
    </row>
    <row r="276" spans="1:7" ht="15">
      <c r="A276" s="5">
        <f t="shared" si="7"/>
        <v>60</v>
      </c>
      <c r="B276" s="2" t="s">
        <v>287</v>
      </c>
      <c r="C276" s="2">
        <v>1990</v>
      </c>
      <c r="D276" s="2" t="s">
        <v>232</v>
      </c>
      <c r="E276" s="2">
        <f>14</f>
        <v>14</v>
      </c>
      <c r="F276" s="2">
        <f>1720</f>
        <v>1720</v>
      </c>
      <c r="G276" s="3">
        <f t="shared" si="6"/>
        <v>122.85714285714286</v>
      </c>
    </row>
    <row r="277" spans="1:7" ht="15">
      <c r="A277" s="5">
        <f t="shared" si="7"/>
        <v>61</v>
      </c>
      <c r="B277" s="2" t="s">
        <v>288</v>
      </c>
      <c r="C277" s="2">
        <v>1988</v>
      </c>
      <c r="D277" s="2" t="s">
        <v>102</v>
      </c>
      <c r="E277" s="2">
        <f>8+3</f>
        <v>11</v>
      </c>
      <c r="F277" s="2">
        <f>513+464+374</f>
        <v>1351</v>
      </c>
      <c r="G277" s="3">
        <f t="shared" si="6"/>
        <v>122.81818181818181</v>
      </c>
    </row>
    <row r="278" spans="1:7" ht="15">
      <c r="A278" s="5">
        <f t="shared" si="7"/>
        <v>62</v>
      </c>
      <c r="B278" s="2" t="s">
        <v>289</v>
      </c>
      <c r="C278" s="2">
        <v>1989</v>
      </c>
      <c r="D278" s="2" t="s">
        <v>25</v>
      </c>
      <c r="E278" s="2">
        <f>18+3+4</f>
        <v>25</v>
      </c>
      <c r="F278" s="2">
        <f>393+439+385+465+470+398+503</f>
        <v>3053</v>
      </c>
      <c r="G278" s="3">
        <f t="shared" si="6"/>
        <v>122.12</v>
      </c>
    </row>
    <row r="279" spans="1:7" ht="15">
      <c r="A279" s="5">
        <f t="shared" si="7"/>
        <v>63</v>
      </c>
      <c r="B279" s="2" t="s">
        <v>290</v>
      </c>
      <c r="C279" s="2">
        <v>1989</v>
      </c>
      <c r="D279" s="2" t="s">
        <v>25</v>
      </c>
      <c r="E279" s="2">
        <f>17+3+4</f>
        <v>24</v>
      </c>
      <c r="F279" s="2">
        <f>344+447+242+552+444+397+497</f>
        <v>2923</v>
      </c>
      <c r="G279" s="3">
        <f t="shared" si="6"/>
        <v>121.79166666666667</v>
      </c>
    </row>
    <row r="280" spans="1:7" ht="15">
      <c r="A280" s="5">
        <f t="shared" si="7"/>
        <v>64</v>
      </c>
      <c r="B280" s="2" t="s">
        <v>291</v>
      </c>
      <c r="C280" s="2">
        <v>1988</v>
      </c>
      <c r="D280" s="2" t="s">
        <v>25</v>
      </c>
      <c r="E280" s="2">
        <f>4+4+4+4+1</f>
        <v>17</v>
      </c>
      <c r="F280" s="2">
        <f>586+187+193+511+463+124</f>
        <v>2064</v>
      </c>
      <c r="G280" s="3">
        <f t="shared" si="6"/>
        <v>121.41176470588235</v>
      </c>
    </row>
    <row r="281" spans="1:7" ht="15">
      <c r="A281" s="5">
        <f t="shared" si="7"/>
        <v>65</v>
      </c>
      <c r="B281" s="2" t="s">
        <v>292</v>
      </c>
      <c r="C281" s="2">
        <v>1990</v>
      </c>
      <c r="D281" s="2" t="s">
        <v>64</v>
      </c>
      <c r="E281" s="2">
        <f>4+6+2+8</f>
        <v>20</v>
      </c>
      <c r="F281" s="2">
        <f>393+339+348+265+609+456</f>
        <v>2410</v>
      </c>
      <c r="G281" s="3">
        <f aca="true" t="shared" si="8" ref="G281:G339">F281/E281</f>
        <v>120.5</v>
      </c>
    </row>
    <row r="282" spans="1:7" ht="15">
      <c r="A282" s="5">
        <f t="shared" si="7"/>
        <v>66</v>
      </c>
      <c r="B282" s="2" t="s">
        <v>293</v>
      </c>
      <c r="C282" s="2">
        <v>1991</v>
      </c>
      <c r="D282" s="2" t="s">
        <v>21</v>
      </c>
      <c r="E282" s="2">
        <f>3+4</f>
        <v>7</v>
      </c>
      <c r="F282" s="2">
        <f>358+481</f>
        <v>839</v>
      </c>
      <c r="G282" s="3">
        <f t="shared" si="8"/>
        <v>119.85714285714286</v>
      </c>
    </row>
    <row r="283" spans="1:7" ht="15">
      <c r="A283" s="5">
        <f aca="true" t="shared" si="9" ref="A283:A328">A282+1</f>
        <v>67</v>
      </c>
      <c r="B283" s="2" t="s">
        <v>294</v>
      </c>
      <c r="C283" s="2">
        <v>1989</v>
      </c>
      <c r="D283" s="2" t="s">
        <v>64</v>
      </c>
      <c r="E283" s="2">
        <f>10+3</f>
        <v>13</v>
      </c>
      <c r="F283" s="2">
        <f>390+436+330+402</f>
        <v>1558</v>
      </c>
      <c r="G283" s="3">
        <f t="shared" si="8"/>
        <v>119.84615384615384</v>
      </c>
    </row>
    <row r="284" spans="1:7" ht="15">
      <c r="A284" s="5">
        <f t="shared" si="9"/>
        <v>68</v>
      </c>
      <c r="B284" s="2" t="s">
        <v>295</v>
      </c>
      <c r="C284" s="2">
        <v>1988</v>
      </c>
      <c r="D284" s="2" t="s">
        <v>64</v>
      </c>
      <c r="E284" s="2">
        <f>4</f>
        <v>4</v>
      </c>
      <c r="F284" s="2">
        <f>479</f>
        <v>479</v>
      </c>
      <c r="G284" s="3">
        <f t="shared" si="8"/>
        <v>119.75</v>
      </c>
    </row>
    <row r="285" spans="1:7" ht="15">
      <c r="A285" s="40">
        <f t="shared" si="9"/>
        <v>69</v>
      </c>
      <c r="B285" s="41" t="s">
        <v>296</v>
      </c>
      <c r="C285" s="41"/>
      <c r="D285" s="41" t="s">
        <v>47</v>
      </c>
      <c r="E285" s="41">
        <f>4</f>
        <v>4</v>
      </c>
      <c r="F285" s="41">
        <f>479</f>
        <v>479</v>
      </c>
      <c r="G285" s="42">
        <f t="shared" si="8"/>
        <v>119.75</v>
      </c>
    </row>
    <row r="286" spans="1:7" ht="15">
      <c r="A286" s="5">
        <f t="shared" si="9"/>
        <v>70</v>
      </c>
      <c r="B286" s="2" t="s">
        <v>297</v>
      </c>
      <c r="C286" s="2">
        <v>1989</v>
      </c>
      <c r="D286" s="2" t="s">
        <v>234</v>
      </c>
      <c r="E286" s="2">
        <f>3</f>
        <v>3</v>
      </c>
      <c r="F286" s="2">
        <f>358</f>
        <v>358</v>
      </c>
      <c r="G286" s="3">
        <f t="shared" si="8"/>
        <v>119.33333333333333</v>
      </c>
    </row>
    <row r="287" spans="1:7" ht="15">
      <c r="A287" s="5">
        <f t="shared" si="9"/>
        <v>71</v>
      </c>
      <c r="B287" s="2" t="s">
        <v>298</v>
      </c>
      <c r="C287" s="2">
        <v>1991</v>
      </c>
      <c r="D287" s="2" t="s">
        <v>16</v>
      </c>
      <c r="E287" s="2">
        <f>8+3+8</f>
        <v>19</v>
      </c>
      <c r="F287" s="2">
        <f>523+186+216+375+423+530</f>
        <v>2253</v>
      </c>
      <c r="G287" s="3">
        <f t="shared" si="8"/>
        <v>118.57894736842105</v>
      </c>
    </row>
    <row r="288" spans="1:7" ht="15">
      <c r="A288" s="5">
        <f t="shared" si="9"/>
        <v>72</v>
      </c>
      <c r="B288" s="2" t="s">
        <v>299</v>
      </c>
      <c r="C288" s="2">
        <v>1989</v>
      </c>
      <c r="D288" s="2" t="s">
        <v>25</v>
      </c>
      <c r="E288" s="2">
        <f>6+3+4</f>
        <v>13</v>
      </c>
      <c r="F288" s="2">
        <f>406+362+370+394</f>
        <v>1532</v>
      </c>
      <c r="G288" s="3">
        <f t="shared" si="8"/>
        <v>117.84615384615384</v>
      </c>
    </row>
    <row r="289" spans="1:7" ht="15">
      <c r="A289" s="5">
        <f t="shared" si="9"/>
        <v>73</v>
      </c>
      <c r="B289" s="2" t="s">
        <v>300</v>
      </c>
      <c r="C289" s="2">
        <v>1990</v>
      </c>
      <c r="D289" s="2" t="s">
        <v>52</v>
      </c>
      <c r="E289" s="2">
        <f>9+4+2+8</f>
        <v>23</v>
      </c>
      <c r="F289" s="2">
        <f>393+211+433+369+217+515+570</f>
        <v>2708</v>
      </c>
      <c r="G289" s="3">
        <f t="shared" si="8"/>
        <v>117.73913043478261</v>
      </c>
    </row>
    <row r="290" spans="1:7" ht="15">
      <c r="A290" s="5">
        <f t="shared" si="9"/>
        <v>74</v>
      </c>
      <c r="B290" s="2" t="s">
        <v>301</v>
      </c>
      <c r="C290" s="2">
        <v>1988</v>
      </c>
      <c r="D290" s="2" t="s">
        <v>258</v>
      </c>
      <c r="E290" s="2">
        <f>8</f>
        <v>8</v>
      </c>
      <c r="F290" s="2">
        <f>445+493</f>
        <v>938</v>
      </c>
      <c r="G290" s="3">
        <f t="shared" si="8"/>
        <v>117.25</v>
      </c>
    </row>
    <row r="291" spans="1:7" ht="15">
      <c r="A291" s="5">
        <f t="shared" si="9"/>
        <v>75</v>
      </c>
      <c r="B291" s="2" t="s">
        <v>302</v>
      </c>
      <c r="C291" s="2">
        <v>1988</v>
      </c>
      <c r="D291" s="2" t="s">
        <v>102</v>
      </c>
      <c r="E291" s="2">
        <f>19+3</f>
        <v>22</v>
      </c>
      <c r="F291" s="2">
        <f>431+380+496+355+251+330+313</f>
        <v>2556</v>
      </c>
      <c r="G291" s="3">
        <f t="shared" si="8"/>
        <v>116.18181818181819</v>
      </c>
    </row>
    <row r="292" spans="1:7" ht="15">
      <c r="A292" s="5">
        <f t="shared" si="9"/>
        <v>76</v>
      </c>
      <c r="B292" s="2" t="s">
        <v>303</v>
      </c>
      <c r="C292" s="2">
        <v>1989</v>
      </c>
      <c r="D292" s="2" t="s">
        <v>36</v>
      </c>
      <c r="E292" s="2">
        <f>18+3+4</f>
        <v>25</v>
      </c>
      <c r="F292" s="2">
        <f>520+216+378+452+485+426+422</f>
        <v>2899</v>
      </c>
      <c r="G292" s="3">
        <f t="shared" si="8"/>
        <v>115.96</v>
      </c>
    </row>
    <row r="293" spans="1:7" ht="15">
      <c r="A293" s="5">
        <f t="shared" si="9"/>
        <v>77</v>
      </c>
      <c r="B293" s="2" t="s">
        <v>304</v>
      </c>
      <c r="C293" s="2">
        <v>1988</v>
      </c>
      <c r="D293" s="2" t="s">
        <v>16</v>
      </c>
      <c r="E293" s="2">
        <f>11+1+8</f>
        <v>20</v>
      </c>
      <c r="F293" s="2">
        <f>108+425+507+271+89+389+530</f>
        <v>2319</v>
      </c>
      <c r="G293" s="3">
        <f t="shared" si="8"/>
        <v>115.95</v>
      </c>
    </row>
    <row r="294" spans="1:7" ht="15">
      <c r="A294" s="5">
        <f t="shared" si="9"/>
        <v>78</v>
      </c>
      <c r="B294" s="2" t="s">
        <v>305</v>
      </c>
      <c r="C294" s="2">
        <v>1988</v>
      </c>
      <c r="D294" s="2" t="s">
        <v>131</v>
      </c>
      <c r="E294" s="2">
        <f>18+3+4</f>
        <v>25</v>
      </c>
      <c r="F294" s="2">
        <f>399+349+470+462+402+285+520</f>
        <v>2887</v>
      </c>
      <c r="G294" s="3">
        <f t="shared" si="8"/>
        <v>115.48</v>
      </c>
    </row>
    <row r="295" spans="1:7" ht="15">
      <c r="A295" s="5">
        <f t="shared" si="9"/>
        <v>79</v>
      </c>
      <c r="B295" s="2" t="s">
        <v>306</v>
      </c>
      <c r="C295" s="2">
        <v>1989</v>
      </c>
      <c r="D295" s="2" t="s">
        <v>64</v>
      </c>
      <c r="E295" s="2">
        <f>11</f>
        <v>11</v>
      </c>
      <c r="F295" s="2">
        <f>414+99+411+346</f>
        <v>1270</v>
      </c>
      <c r="G295" s="3">
        <f t="shared" si="8"/>
        <v>115.45454545454545</v>
      </c>
    </row>
    <row r="296" spans="1:7" ht="15">
      <c r="A296" s="5">
        <f t="shared" si="9"/>
        <v>80</v>
      </c>
      <c r="B296" s="2" t="s">
        <v>307</v>
      </c>
      <c r="C296" s="2">
        <v>1992</v>
      </c>
      <c r="D296" s="2" t="s">
        <v>25</v>
      </c>
      <c r="E296" s="2">
        <f>11+3+4</f>
        <v>18</v>
      </c>
      <c r="F296" s="2">
        <f>422+388+417+432+380</f>
        <v>2039</v>
      </c>
      <c r="G296" s="3">
        <f t="shared" si="8"/>
        <v>113.27777777777777</v>
      </c>
    </row>
    <row r="297" spans="1:7" ht="15">
      <c r="A297" s="40">
        <f t="shared" si="9"/>
        <v>81</v>
      </c>
      <c r="B297" s="41" t="s">
        <v>308</v>
      </c>
      <c r="C297" s="41">
        <v>1989</v>
      </c>
      <c r="D297" s="41" t="s">
        <v>47</v>
      </c>
      <c r="E297" s="41">
        <f>15+1+8</f>
        <v>24</v>
      </c>
      <c r="F297" s="41">
        <f>301+496+486+420+106+456+449</f>
        <v>2714</v>
      </c>
      <c r="G297" s="42">
        <f t="shared" si="8"/>
        <v>113.08333333333333</v>
      </c>
    </row>
    <row r="298" spans="1:7" ht="15">
      <c r="A298" s="5">
        <f t="shared" si="9"/>
        <v>82</v>
      </c>
      <c r="B298" s="2" t="s">
        <v>309</v>
      </c>
      <c r="C298" s="2">
        <v>1989</v>
      </c>
      <c r="D298" s="2" t="s">
        <v>310</v>
      </c>
      <c r="E298" s="2">
        <f>19+3+4</f>
        <v>26</v>
      </c>
      <c r="F298" s="2">
        <f>342+416+421+492+471+382+413</f>
        <v>2937</v>
      </c>
      <c r="G298" s="3">
        <f t="shared" si="8"/>
        <v>112.96153846153847</v>
      </c>
    </row>
    <row r="299" spans="1:7" ht="15">
      <c r="A299" s="5">
        <f t="shared" si="9"/>
        <v>83</v>
      </c>
      <c r="B299" s="2" t="s">
        <v>311</v>
      </c>
      <c r="C299" s="2">
        <v>1989</v>
      </c>
      <c r="D299" s="2" t="s">
        <v>52</v>
      </c>
      <c r="E299" s="2">
        <f>14+3+14</f>
        <v>31</v>
      </c>
      <c r="F299" s="2">
        <f>333+391+273+380+314+1801</f>
        <v>3492</v>
      </c>
      <c r="G299" s="3">
        <f t="shared" si="8"/>
        <v>112.64516129032258</v>
      </c>
    </row>
    <row r="300" spans="1:7" ht="15">
      <c r="A300" s="5">
        <f t="shared" si="9"/>
        <v>84</v>
      </c>
      <c r="B300" s="2" t="s">
        <v>312</v>
      </c>
      <c r="C300" s="2">
        <v>1991</v>
      </c>
      <c r="D300" s="2" t="s">
        <v>131</v>
      </c>
      <c r="E300" s="2">
        <f>24</f>
        <v>24</v>
      </c>
      <c r="F300" s="2">
        <f>399+488+493+394+583+318</f>
        <v>2675</v>
      </c>
      <c r="G300" s="3">
        <f t="shared" si="8"/>
        <v>111.45833333333333</v>
      </c>
    </row>
    <row r="301" spans="1:7" ht="15">
      <c r="A301" s="5">
        <f t="shared" si="9"/>
        <v>85</v>
      </c>
      <c r="B301" s="2" t="s">
        <v>313</v>
      </c>
      <c r="C301" s="2">
        <v>1991</v>
      </c>
      <c r="D301" s="2" t="s">
        <v>131</v>
      </c>
      <c r="E301" s="2">
        <f>4+8+4+4+4</f>
        <v>24</v>
      </c>
      <c r="F301" s="2">
        <f>401+470+520+463+410+380</f>
        <v>2644</v>
      </c>
      <c r="G301" s="3">
        <f t="shared" si="8"/>
        <v>110.16666666666667</v>
      </c>
    </row>
    <row r="302" spans="1:7" ht="15">
      <c r="A302" s="5">
        <f t="shared" si="9"/>
        <v>86</v>
      </c>
      <c r="B302" s="2" t="s">
        <v>314</v>
      </c>
      <c r="C302" s="2">
        <v>1991</v>
      </c>
      <c r="D302" s="2" t="s">
        <v>25</v>
      </c>
      <c r="E302" s="2">
        <f>7+8</f>
        <v>15</v>
      </c>
      <c r="F302" s="2">
        <f>288+230+196+466+468</f>
        <v>1648</v>
      </c>
      <c r="G302" s="3">
        <f t="shared" si="8"/>
        <v>109.86666666666666</v>
      </c>
    </row>
    <row r="303" spans="1:7" ht="15">
      <c r="A303" s="5">
        <f t="shared" si="9"/>
        <v>87</v>
      </c>
      <c r="B303" s="2" t="s">
        <v>315</v>
      </c>
      <c r="C303" s="2">
        <v>1989</v>
      </c>
      <c r="D303" s="2" t="s">
        <v>52</v>
      </c>
      <c r="E303" s="2">
        <f>17+3+4</f>
        <v>24</v>
      </c>
      <c r="F303" s="2">
        <f>330+445+256+469+373+322+433</f>
        <v>2628</v>
      </c>
      <c r="G303" s="3">
        <f t="shared" si="8"/>
        <v>109.5</v>
      </c>
    </row>
    <row r="304" spans="1:7" ht="15">
      <c r="A304" s="5">
        <f t="shared" si="9"/>
        <v>88</v>
      </c>
      <c r="B304" s="2" t="s">
        <v>316</v>
      </c>
      <c r="C304" s="2">
        <v>1990</v>
      </c>
      <c r="D304" s="2" t="s">
        <v>52</v>
      </c>
      <c r="E304" s="2">
        <f>18+4</f>
        <v>22</v>
      </c>
      <c r="F304" s="2">
        <f>432+413+322+435+365+433</f>
        <v>2400</v>
      </c>
      <c r="G304" s="3">
        <f t="shared" si="8"/>
        <v>109.0909090909091</v>
      </c>
    </row>
    <row r="305" spans="1:7" ht="15">
      <c r="A305" s="5">
        <f t="shared" si="9"/>
        <v>89</v>
      </c>
      <c r="B305" s="2" t="s">
        <v>317</v>
      </c>
      <c r="C305" s="2">
        <v>1990</v>
      </c>
      <c r="D305" s="2" t="s">
        <v>25</v>
      </c>
      <c r="E305" s="2">
        <f>17+3</f>
        <v>20</v>
      </c>
      <c r="F305" s="2">
        <f>299+405+343+309+418+395</f>
        <v>2169</v>
      </c>
      <c r="G305" s="3">
        <f t="shared" si="8"/>
        <v>108.45</v>
      </c>
    </row>
    <row r="306" spans="1:7" ht="15">
      <c r="A306" s="40">
        <f t="shared" si="9"/>
        <v>90</v>
      </c>
      <c r="B306" s="41" t="s">
        <v>318</v>
      </c>
      <c r="C306" s="41">
        <v>1989</v>
      </c>
      <c r="D306" s="41" t="s">
        <v>47</v>
      </c>
      <c r="E306" s="41">
        <f>3+8</f>
        <v>11</v>
      </c>
      <c r="F306" s="41">
        <f>295+405+490</f>
        <v>1190</v>
      </c>
      <c r="G306" s="42">
        <f t="shared" si="8"/>
        <v>108.18181818181819</v>
      </c>
    </row>
    <row r="307" spans="1:7" ht="15">
      <c r="A307" s="5">
        <f t="shared" si="9"/>
        <v>91</v>
      </c>
      <c r="B307" s="2" t="s">
        <v>319</v>
      </c>
      <c r="C307" s="2">
        <v>1989</v>
      </c>
      <c r="D307" s="2" t="s">
        <v>234</v>
      </c>
      <c r="E307" s="2">
        <f>2</f>
        <v>2</v>
      </c>
      <c r="F307" s="2">
        <f>215</f>
        <v>215</v>
      </c>
      <c r="G307" s="3">
        <f t="shared" si="8"/>
        <v>107.5</v>
      </c>
    </row>
    <row r="308" spans="1:7" ht="15">
      <c r="A308" s="5">
        <f t="shared" si="9"/>
        <v>92</v>
      </c>
      <c r="B308" s="2" t="s">
        <v>320</v>
      </c>
      <c r="C308" s="2">
        <v>1991</v>
      </c>
      <c r="D308" s="2" t="s">
        <v>131</v>
      </c>
      <c r="E308" s="2">
        <f>14+3+4</f>
        <v>21</v>
      </c>
      <c r="F308" s="2">
        <f>311+304+397+391+357+469</f>
        <v>2229</v>
      </c>
      <c r="G308" s="3">
        <f t="shared" si="8"/>
        <v>106.14285714285714</v>
      </c>
    </row>
    <row r="309" spans="1:7" ht="15">
      <c r="A309" s="5">
        <f t="shared" si="9"/>
        <v>93</v>
      </c>
      <c r="B309" s="2" t="s">
        <v>321</v>
      </c>
      <c r="C309" s="2">
        <v>1989</v>
      </c>
      <c r="D309" s="2" t="s">
        <v>25</v>
      </c>
      <c r="E309" s="2">
        <f>15+3</f>
        <v>18</v>
      </c>
      <c r="F309" s="2">
        <f>408+305+407+355+425</f>
        <v>1900</v>
      </c>
      <c r="G309" s="3">
        <f t="shared" si="8"/>
        <v>105.55555555555556</v>
      </c>
    </row>
    <row r="310" spans="1:7" ht="15">
      <c r="A310" s="5">
        <f t="shared" si="9"/>
        <v>94</v>
      </c>
      <c r="B310" s="2" t="s">
        <v>322</v>
      </c>
      <c r="C310" s="2">
        <v>1991</v>
      </c>
      <c r="D310" s="2" t="s">
        <v>52</v>
      </c>
      <c r="E310" s="2">
        <f>7</f>
        <v>7</v>
      </c>
      <c r="F310" s="2">
        <f>316+417</f>
        <v>733</v>
      </c>
      <c r="G310" s="3">
        <f t="shared" si="8"/>
        <v>104.71428571428571</v>
      </c>
    </row>
    <row r="311" spans="1:7" ht="15">
      <c r="A311" s="5">
        <f t="shared" si="9"/>
        <v>95</v>
      </c>
      <c r="B311" s="2" t="s">
        <v>323</v>
      </c>
      <c r="C311" s="2">
        <v>1990</v>
      </c>
      <c r="D311" s="2" t="s">
        <v>258</v>
      </c>
      <c r="E311" s="2">
        <f>4</f>
        <v>4</v>
      </c>
      <c r="F311" s="2">
        <f>418</f>
        <v>418</v>
      </c>
      <c r="G311" s="3">
        <f t="shared" si="8"/>
        <v>104.5</v>
      </c>
    </row>
    <row r="312" spans="1:7" ht="15">
      <c r="A312" s="5">
        <f t="shared" si="9"/>
        <v>96</v>
      </c>
      <c r="B312" s="2" t="s">
        <v>324</v>
      </c>
      <c r="C312" s="2">
        <v>1988</v>
      </c>
      <c r="D312" s="2" t="s">
        <v>64</v>
      </c>
      <c r="E312" s="2">
        <f>1</f>
        <v>1</v>
      </c>
      <c r="F312" s="2">
        <f>102</f>
        <v>102</v>
      </c>
      <c r="G312" s="3">
        <f t="shared" si="8"/>
        <v>102</v>
      </c>
    </row>
    <row r="313" spans="1:7" ht="15">
      <c r="A313" s="5">
        <f t="shared" si="9"/>
        <v>97</v>
      </c>
      <c r="B313" s="2" t="s">
        <v>325</v>
      </c>
      <c r="C313" s="2">
        <v>1990</v>
      </c>
      <c r="D313" s="2" t="s">
        <v>52</v>
      </c>
      <c r="E313" s="2">
        <f>10+3+4</f>
        <v>17</v>
      </c>
      <c r="F313" s="2">
        <f>283+225+286+213+296+413</f>
        <v>1716</v>
      </c>
      <c r="G313" s="3">
        <f t="shared" si="8"/>
        <v>100.94117647058823</v>
      </c>
    </row>
    <row r="314" spans="1:7" ht="15">
      <c r="A314" s="5">
        <f t="shared" si="9"/>
        <v>98</v>
      </c>
      <c r="B314" s="2" t="s">
        <v>326</v>
      </c>
      <c r="C314" s="2">
        <v>1989</v>
      </c>
      <c r="D314" s="2" t="s">
        <v>52</v>
      </c>
      <c r="E314" s="2">
        <f>15+3+8</f>
        <v>26</v>
      </c>
      <c r="F314" s="2">
        <f>253+343+220+300+334+269+479+424</f>
        <v>2622</v>
      </c>
      <c r="G314" s="3">
        <f t="shared" si="8"/>
        <v>100.84615384615384</v>
      </c>
    </row>
    <row r="315" spans="1:7" ht="15">
      <c r="A315" s="5">
        <f t="shared" si="9"/>
        <v>99</v>
      </c>
      <c r="B315" s="2" t="s">
        <v>327</v>
      </c>
      <c r="C315" s="2">
        <v>1991</v>
      </c>
      <c r="D315" s="2" t="s">
        <v>52</v>
      </c>
      <c r="E315" s="2">
        <f>3</f>
        <v>3</v>
      </c>
      <c r="F315" s="2">
        <f>302</f>
        <v>302</v>
      </c>
      <c r="G315" s="3">
        <f t="shared" si="8"/>
        <v>100.66666666666667</v>
      </c>
    </row>
    <row r="316" spans="1:7" ht="15">
      <c r="A316" s="5">
        <f t="shared" si="9"/>
        <v>100</v>
      </c>
      <c r="B316" s="2" t="s">
        <v>328</v>
      </c>
      <c r="C316" s="2">
        <v>1988</v>
      </c>
      <c r="D316" s="2" t="s">
        <v>25</v>
      </c>
      <c r="E316" s="2">
        <f>12+4+1</f>
        <v>17</v>
      </c>
      <c r="F316" s="2">
        <f>318+374+202+348+381+78</f>
        <v>1701</v>
      </c>
      <c r="G316" s="3">
        <f t="shared" si="8"/>
        <v>100.05882352941177</v>
      </c>
    </row>
    <row r="317" spans="1:7" ht="15">
      <c r="A317" s="5">
        <f t="shared" si="9"/>
        <v>101</v>
      </c>
      <c r="B317" s="2" t="s">
        <v>329</v>
      </c>
      <c r="C317" s="2">
        <v>1990</v>
      </c>
      <c r="D317" s="2" t="s">
        <v>310</v>
      </c>
      <c r="E317" s="2">
        <f>4</f>
        <v>4</v>
      </c>
      <c r="F317" s="2">
        <f>400</f>
        <v>400</v>
      </c>
      <c r="G317" s="3">
        <f t="shared" si="8"/>
        <v>100</v>
      </c>
    </row>
    <row r="318" spans="1:7" ht="15">
      <c r="A318" s="5">
        <f t="shared" si="9"/>
        <v>102</v>
      </c>
      <c r="B318" s="2" t="s">
        <v>330</v>
      </c>
      <c r="C318" s="2">
        <v>1990</v>
      </c>
      <c r="D318" s="2" t="s">
        <v>131</v>
      </c>
      <c r="E318" s="2">
        <f>4+18+3+4</f>
        <v>29</v>
      </c>
      <c r="F318" s="2">
        <f>349+344+344+375+489+386+330+274</f>
        <v>2891</v>
      </c>
      <c r="G318" s="3">
        <f t="shared" si="8"/>
        <v>99.6896551724138</v>
      </c>
    </row>
    <row r="319" spans="1:7" ht="15">
      <c r="A319" s="5">
        <f t="shared" si="9"/>
        <v>103</v>
      </c>
      <c r="B319" s="2" t="s">
        <v>331</v>
      </c>
      <c r="C319" s="2">
        <v>1992</v>
      </c>
      <c r="D319" s="2" t="s">
        <v>52</v>
      </c>
      <c r="E319" s="2">
        <f>14+2+8</f>
        <v>24</v>
      </c>
      <c r="F319" s="2">
        <f>203+313+176+386+256+290+356+404</f>
        <v>2384</v>
      </c>
      <c r="G319" s="3">
        <f t="shared" si="8"/>
        <v>99.33333333333333</v>
      </c>
    </row>
    <row r="320" spans="1:7" ht="15">
      <c r="A320" s="5">
        <f t="shared" si="9"/>
        <v>104</v>
      </c>
      <c r="B320" s="2" t="s">
        <v>332</v>
      </c>
      <c r="C320" s="2">
        <v>1990</v>
      </c>
      <c r="D320" s="2" t="s">
        <v>258</v>
      </c>
      <c r="E320" s="2">
        <f>4</f>
        <v>4</v>
      </c>
      <c r="F320" s="2">
        <f>395</f>
        <v>395</v>
      </c>
      <c r="G320" s="3">
        <f t="shared" si="8"/>
        <v>98.75</v>
      </c>
    </row>
    <row r="321" spans="1:7" ht="15">
      <c r="A321" s="5">
        <f t="shared" si="9"/>
        <v>105</v>
      </c>
      <c r="B321" s="2" t="s">
        <v>333</v>
      </c>
      <c r="C321" s="2">
        <v>1989</v>
      </c>
      <c r="D321" s="2" t="s">
        <v>62</v>
      </c>
      <c r="E321" s="2">
        <f>4</f>
        <v>4</v>
      </c>
      <c r="F321" s="2">
        <f>394</f>
        <v>394</v>
      </c>
      <c r="G321" s="3">
        <f t="shared" si="8"/>
        <v>98.5</v>
      </c>
    </row>
    <row r="322" spans="1:7" ht="15">
      <c r="A322" s="5">
        <f t="shared" si="9"/>
        <v>106</v>
      </c>
      <c r="B322" s="2" t="s">
        <v>334</v>
      </c>
      <c r="C322" s="2">
        <v>1991</v>
      </c>
      <c r="D322" s="2" t="s">
        <v>131</v>
      </c>
      <c r="E322" s="2">
        <f>4+18+3+4</f>
        <v>29</v>
      </c>
      <c r="F322" s="2">
        <f>331+306+304+414+389+329+342+434</f>
        <v>2849</v>
      </c>
      <c r="G322" s="3">
        <f t="shared" si="8"/>
        <v>98.24137931034483</v>
      </c>
    </row>
    <row r="323" spans="1:7" ht="15">
      <c r="A323" s="5">
        <f t="shared" si="9"/>
        <v>107</v>
      </c>
      <c r="B323" s="2" t="s">
        <v>335</v>
      </c>
      <c r="C323" s="2">
        <v>1990</v>
      </c>
      <c r="D323" s="2" t="s">
        <v>52</v>
      </c>
      <c r="E323" s="2">
        <f>17+3+4</f>
        <v>24</v>
      </c>
      <c r="F323" s="2">
        <f>334+379+316+304+354+350+320</f>
        <v>2357</v>
      </c>
      <c r="G323" s="3">
        <f t="shared" si="8"/>
        <v>98.20833333333333</v>
      </c>
    </row>
    <row r="324" spans="1:7" ht="15">
      <c r="A324" s="5">
        <f t="shared" si="9"/>
        <v>108</v>
      </c>
      <c r="B324" s="2" t="s">
        <v>336</v>
      </c>
      <c r="C324" s="2">
        <v>1988</v>
      </c>
      <c r="D324" s="2" t="s">
        <v>62</v>
      </c>
      <c r="E324" s="2">
        <f>10</f>
        <v>10</v>
      </c>
      <c r="F324" s="2">
        <f>968</f>
        <v>968</v>
      </c>
      <c r="G324" s="3">
        <f t="shared" si="8"/>
        <v>96.8</v>
      </c>
    </row>
    <row r="325" spans="1:7" ht="15">
      <c r="A325" s="5">
        <f t="shared" si="9"/>
        <v>109</v>
      </c>
      <c r="B325" s="2" t="s">
        <v>337</v>
      </c>
      <c r="C325" s="2">
        <v>1991</v>
      </c>
      <c r="D325" s="2" t="s">
        <v>64</v>
      </c>
      <c r="E325" s="2">
        <f>4+8</f>
        <v>12</v>
      </c>
      <c r="F325" s="2">
        <f>402+394+354</f>
        <v>1150</v>
      </c>
      <c r="G325" s="3">
        <f t="shared" si="8"/>
        <v>95.83333333333333</v>
      </c>
    </row>
    <row r="326" spans="1:7" ht="15">
      <c r="A326" s="5">
        <f t="shared" si="9"/>
        <v>110</v>
      </c>
      <c r="B326" s="2" t="s">
        <v>338</v>
      </c>
      <c r="C326" s="2">
        <v>1990</v>
      </c>
      <c r="D326" s="2" t="s">
        <v>52</v>
      </c>
      <c r="E326" s="2">
        <f>17+2+4</f>
        <v>23</v>
      </c>
      <c r="F326" s="2">
        <f>228+283+297+403+330+245+378</f>
        <v>2164</v>
      </c>
      <c r="G326" s="3">
        <f t="shared" si="8"/>
        <v>94.08695652173913</v>
      </c>
    </row>
    <row r="327" spans="1:7" ht="15">
      <c r="A327" s="5">
        <f t="shared" si="9"/>
        <v>111</v>
      </c>
      <c r="B327" s="2" t="s">
        <v>339</v>
      </c>
      <c r="C327" s="2">
        <v>1993</v>
      </c>
      <c r="D327" s="2" t="s">
        <v>25</v>
      </c>
      <c r="E327" s="2">
        <f>16+3</f>
        <v>19</v>
      </c>
      <c r="F327" s="2">
        <f>343+203+373+352+195+306</f>
        <v>1772</v>
      </c>
      <c r="G327" s="3">
        <f t="shared" si="8"/>
        <v>93.26315789473684</v>
      </c>
    </row>
    <row r="328" spans="1:7" ht="15">
      <c r="A328" s="5">
        <f t="shared" si="9"/>
        <v>112</v>
      </c>
      <c r="B328" s="2" t="s">
        <v>340</v>
      </c>
      <c r="C328" s="2">
        <v>1991</v>
      </c>
      <c r="D328" s="2" t="s">
        <v>255</v>
      </c>
      <c r="E328" s="2">
        <f>17+3</f>
        <v>20</v>
      </c>
      <c r="F328" s="2">
        <f>316+263+264+316+363+308</f>
        <v>1830</v>
      </c>
      <c r="G328" s="3">
        <f t="shared" si="8"/>
        <v>91.5</v>
      </c>
    </row>
    <row r="329" spans="1:7" ht="15">
      <c r="A329" s="5">
        <v>113</v>
      </c>
      <c r="B329" s="2" t="s">
        <v>341</v>
      </c>
      <c r="C329" s="2">
        <v>1993</v>
      </c>
      <c r="D329" s="2" t="s">
        <v>52</v>
      </c>
      <c r="E329" s="2">
        <f>9+8+3+4</f>
        <v>24</v>
      </c>
      <c r="F329" s="2">
        <f>225+255+259+345+502+209+338</f>
        <v>2133</v>
      </c>
      <c r="G329" s="3">
        <f t="shared" si="8"/>
        <v>88.875</v>
      </c>
    </row>
    <row r="330" spans="1:7" ht="15">
      <c r="A330" s="5">
        <v>114</v>
      </c>
      <c r="B330" s="2" t="s">
        <v>342</v>
      </c>
      <c r="C330" s="2">
        <v>1991</v>
      </c>
      <c r="D330" s="2" t="s">
        <v>25</v>
      </c>
      <c r="E330" s="2">
        <f>4</f>
        <v>4</v>
      </c>
      <c r="F330" s="2">
        <f>345</f>
        <v>345</v>
      </c>
      <c r="G330" s="3">
        <f t="shared" si="8"/>
        <v>86.25</v>
      </c>
    </row>
    <row r="331" spans="1:7" ht="15">
      <c r="A331" s="5">
        <v>115</v>
      </c>
      <c r="B331" s="2" t="s">
        <v>343</v>
      </c>
      <c r="C331" s="2">
        <v>1990</v>
      </c>
      <c r="D331" s="2" t="s">
        <v>52</v>
      </c>
      <c r="E331" s="2">
        <f>2</f>
        <v>2</v>
      </c>
      <c r="F331" s="2">
        <f>172</f>
        <v>172</v>
      </c>
      <c r="G331" s="3">
        <f t="shared" si="8"/>
        <v>86</v>
      </c>
    </row>
    <row r="332" spans="1:7" ht="15">
      <c r="A332" s="5">
        <v>116</v>
      </c>
      <c r="B332" s="2" t="s">
        <v>344</v>
      </c>
      <c r="C332" s="2">
        <v>1991</v>
      </c>
      <c r="D332" s="2" t="s">
        <v>52</v>
      </c>
      <c r="E332" s="2">
        <f>17+3</f>
        <v>20</v>
      </c>
      <c r="F332" s="2">
        <f>279+426+133+281+311+270</f>
        <v>1700</v>
      </c>
      <c r="G332" s="3">
        <f t="shared" si="8"/>
        <v>85</v>
      </c>
    </row>
    <row r="333" spans="1:7" ht="15">
      <c r="A333" s="5">
        <v>117</v>
      </c>
      <c r="B333" s="2" t="s">
        <v>345</v>
      </c>
      <c r="C333" s="2">
        <v>1989</v>
      </c>
      <c r="D333" s="2" t="s">
        <v>52</v>
      </c>
      <c r="E333" s="2">
        <f>4</f>
        <v>4</v>
      </c>
      <c r="F333" s="2">
        <f>338</f>
        <v>338</v>
      </c>
      <c r="G333" s="3">
        <f t="shared" si="8"/>
        <v>84.5</v>
      </c>
    </row>
    <row r="334" spans="1:7" ht="15">
      <c r="A334" s="5">
        <v>118</v>
      </c>
      <c r="B334" s="2" t="s">
        <v>346</v>
      </c>
      <c r="C334" s="2">
        <v>1990</v>
      </c>
      <c r="D334" s="2" t="s">
        <v>25</v>
      </c>
      <c r="E334" s="2">
        <f>9</f>
        <v>9</v>
      </c>
      <c r="F334" s="2">
        <f>162+208+295</f>
        <v>665</v>
      </c>
      <c r="G334" s="3">
        <f t="shared" si="8"/>
        <v>73.88888888888889</v>
      </c>
    </row>
    <row r="335" spans="1:7" ht="15">
      <c r="A335" s="5">
        <v>119</v>
      </c>
      <c r="B335" s="2" t="s">
        <v>345</v>
      </c>
      <c r="C335" s="2">
        <v>1989</v>
      </c>
      <c r="D335" s="2" t="s">
        <v>52</v>
      </c>
      <c r="E335" s="2">
        <f>4+1+4</f>
        <v>9</v>
      </c>
      <c r="F335" s="2">
        <f>257+95+313</f>
        <v>665</v>
      </c>
      <c r="G335" s="3">
        <f t="shared" si="8"/>
        <v>73.88888888888889</v>
      </c>
    </row>
    <row r="336" spans="1:7" ht="15">
      <c r="A336" s="5">
        <v>120</v>
      </c>
      <c r="B336" s="2" t="s">
        <v>347</v>
      </c>
      <c r="C336" s="2">
        <v>1992</v>
      </c>
      <c r="D336" s="2" t="s">
        <v>52</v>
      </c>
      <c r="E336" s="2">
        <f>4</f>
        <v>4</v>
      </c>
      <c r="F336" s="2">
        <f>295</f>
        <v>295</v>
      </c>
      <c r="G336" s="3">
        <f t="shared" si="8"/>
        <v>73.75</v>
      </c>
    </row>
    <row r="337" spans="1:7" ht="15">
      <c r="A337" s="5">
        <v>121</v>
      </c>
      <c r="B337" s="2" t="s">
        <v>348</v>
      </c>
      <c r="C337" s="2">
        <v>1990</v>
      </c>
      <c r="D337" s="2" t="s">
        <v>52</v>
      </c>
      <c r="E337" s="2">
        <f>6</f>
        <v>6</v>
      </c>
      <c r="F337" s="2">
        <f>165+265</f>
        <v>430</v>
      </c>
      <c r="G337" s="3">
        <f t="shared" si="8"/>
        <v>71.66666666666667</v>
      </c>
    </row>
    <row r="338" spans="1:7" ht="15">
      <c r="A338" s="5">
        <v>122</v>
      </c>
      <c r="B338" s="2" t="s">
        <v>349</v>
      </c>
      <c r="C338" s="2">
        <v>1990</v>
      </c>
      <c r="D338" s="2" t="s">
        <v>52</v>
      </c>
      <c r="E338" s="2">
        <f>2</f>
        <v>2</v>
      </c>
      <c r="F338" s="2">
        <f>114</f>
        <v>114</v>
      </c>
      <c r="G338" s="3">
        <f t="shared" si="8"/>
        <v>57</v>
      </c>
    </row>
    <row r="339" spans="1:7" ht="15">
      <c r="A339" s="5">
        <v>123</v>
      </c>
      <c r="B339" s="2" t="s">
        <v>350</v>
      </c>
      <c r="C339" s="2">
        <v>1993</v>
      </c>
      <c r="D339" s="2" t="s">
        <v>25</v>
      </c>
      <c r="E339" s="2">
        <f>4</f>
        <v>4</v>
      </c>
      <c r="F339" s="2">
        <f>215</f>
        <v>215</v>
      </c>
      <c r="G339" s="3">
        <f t="shared" si="8"/>
        <v>53.75</v>
      </c>
    </row>
    <row r="340" spans="1:7" ht="15">
      <c r="A340" s="5"/>
      <c r="B340" s="2"/>
      <c r="C340" s="2"/>
      <c r="D340" s="2"/>
      <c r="E340" s="2"/>
      <c r="F340" s="2"/>
      <c r="G340" s="3"/>
    </row>
    <row r="341" spans="1:7" ht="15.75" thickBot="1">
      <c r="A341" s="5"/>
      <c r="B341" s="2"/>
      <c r="C341" s="2"/>
      <c r="D341" s="2"/>
      <c r="E341" s="2"/>
      <c r="F341" s="2"/>
      <c r="G341" s="2"/>
    </row>
    <row r="342" spans="1:7" ht="21" thickBot="1">
      <c r="A342" s="5"/>
      <c r="B342" s="11" t="s">
        <v>351</v>
      </c>
      <c r="C342" s="2"/>
      <c r="D342" s="12"/>
      <c r="E342" s="2"/>
      <c r="F342" s="2"/>
      <c r="G342" s="2"/>
    </row>
    <row r="343" spans="1:7" ht="15">
      <c r="A343" s="5"/>
      <c r="B343" s="2"/>
      <c r="C343" s="2"/>
      <c r="D343" s="2"/>
      <c r="E343" s="2"/>
      <c r="F343" s="2"/>
      <c r="G343" s="2"/>
    </row>
    <row r="344" spans="1:7" ht="15">
      <c r="A344" s="5"/>
      <c r="B344" s="2"/>
      <c r="C344" s="2"/>
      <c r="D344" s="2"/>
      <c r="E344" s="2"/>
      <c r="F344" s="2"/>
      <c r="G344" s="2"/>
    </row>
    <row r="345" spans="1:7" ht="15">
      <c r="A345" s="5">
        <v>1</v>
      </c>
      <c r="B345" s="2" t="s">
        <v>352</v>
      </c>
      <c r="C345" s="2">
        <v>1982</v>
      </c>
      <c r="D345" s="2" t="s">
        <v>16</v>
      </c>
      <c r="E345" s="2">
        <f>16</f>
        <v>16</v>
      </c>
      <c r="F345" s="2">
        <f>816+1148+1090</f>
        <v>3054</v>
      </c>
      <c r="G345" s="3">
        <f aca="true" t="shared" si="10" ref="G345:G354">F345/E345</f>
        <v>190.875</v>
      </c>
    </row>
    <row r="346" spans="1:7" ht="15">
      <c r="A346" s="5">
        <f>A345+1</f>
        <v>2</v>
      </c>
      <c r="B346" s="2" t="s">
        <v>353</v>
      </c>
      <c r="C346" s="2">
        <v>1980</v>
      </c>
      <c r="D346" s="2" t="s">
        <v>39</v>
      </c>
      <c r="E346" s="2">
        <f>16</f>
        <v>16</v>
      </c>
      <c r="F346" s="2">
        <f>670+1139+1221</f>
        <v>3030</v>
      </c>
      <c r="G346" s="3">
        <f t="shared" si="10"/>
        <v>189.375</v>
      </c>
    </row>
    <row r="347" spans="1:7" ht="15">
      <c r="A347" s="5">
        <f aca="true" t="shared" si="11" ref="A347:A352">A346+1</f>
        <v>3</v>
      </c>
      <c r="B347" s="2" t="s">
        <v>354</v>
      </c>
      <c r="C347" s="2">
        <v>1982</v>
      </c>
      <c r="D347" s="2" t="s">
        <v>8</v>
      </c>
      <c r="E347" s="2">
        <f>16</f>
        <v>16</v>
      </c>
      <c r="F347" s="2">
        <f>637+1114+1114</f>
        <v>2865</v>
      </c>
      <c r="G347" s="3">
        <f t="shared" si="10"/>
        <v>179.0625</v>
      </c>
    </row>
    <row r="348" spans="1:7" ht="15">
      <c r="A348" s="5">
        <f t="shared" si="11"/>
        <v>4</v>
      </c>
      <c r="B348" s="2" t="s">
        <v>355</v>
      </c>
      <c r="C348" s="2">
        <v>1983</v>
      </c>
      <c r="D348" s="2" t="s">
        <v>25</v>
      </c>
      <c r="E348" s="2">
        <f>6+16</f>
        <v>22</v>
      </c>
      <c r="F348" s="2">
        <f>1012+785+1039+1066</f>
        <v>3902</v>
      </c>
      <c r="G348" s="3">
        <f t="shared" si="10"/>
        <v>177.36363636363637</v>
      </c>
    </row>
    <row r="349" spans="1:7" ht="15">
      <c r="A349" s="5">
        <f t="shared" si="11"/>
        <v>5</v>
      </c>
      <c r="B349" s="2" t="s">
        <v>356</v>
      </c>
      <c r="C349" s="2">
        <v>1979</v>
      </c>
      <c r="D349" s="2" t="s">
        <v>8</v>
      </c>
      <c r="E349" s="2">
        <f>4</f>
        <v>4</v>
      </c>
      <c r="F349" s="2">
        <f>709</f>
        <v>709</v>
      </c>
      <c r="G349" s="3">
        <f t="shared" si="10"/>
        <v>177.25</v>
      </c>
    </row>
    <row r="350" spans="1:7" ht="15">
      <c r="A350" s="5">
        <f t="shared" si="11"/>
        <v>6</v>
      </c>
      <c r="B350" s="2" t="s">
        <v>357</v>
      </c>
      <c r="C350" s="2">
        <v>1982</v>
      </c>
      <c r="D350" s="2" t="s">
        <v>25</v>
      </c>
      <c r="E350" s="2">
        <f>4</f>
        <v>4</v>
      </c>
      <c r="F350" s="2">
        <f>673</f>
        <v>673</v>
      </c>
      <c r="G350" s="3">
        <f t="shared" si="10"/>
        <v>168.25</v>
      </c>
    </row>
    <row r="351" spans="1:7" ht="15">
      <c r="A351" s="5">
        <f t="shared" si="11"/>
        <v>7</v>
      </c>
      <c r="B351" s="2" t="s">
        <v>358</v>
      </c>
      <c r="C351" s="2">
        <v>1982</v>
      </c>
      <c r="D351" s="2" t="s">
        <v>25</v>
      </c>
      <c r="E351" s="2">
        <f>16</f>
        <v>16</v>
      </c>
      <c r="F351" s="2">
        <f>590+1033+1016</f>
        <v>2639</v>
      </c>
      <c r="G351" s="3">
        <f t="shared" si="10"/>
        <v>164.9375</v>
      </c>
    </row>
    <row r="352" spans="1:7" ht="15">
      <c r="A352" s="5">
        <f t="shared" si="11"/>
        <v>8</v>
      </c>
      <c r="B352" s="2" t="s">
        <v>359</v>
      </c>
      <c r="C352" s="2">
        <v>1981</v>
      </c>
      <c r="D352" s="2" t="s">
        <v>25</v>
      </c>
      <c r="E352" s="2">
        <f>4</f>
        <v>4</v>
      </c>
      <c r="F352" s="2">
        <f>659</f>
        <v>659</v>
      </c>
      <c r="G352" s="3">
        <f t="shared" si="10"/>
        <v>164.75</v>
      </c>
    </row>
    <row r="353" spans="1:7" ht="15">
      <c r="A353" s="5">
        <v>9</v>
      </c>
      <c r="B353" s="2" t="s">
        <v>360</v>
      </c>
      <c r="C353" s="2">
        <v>1981</v>
      </c>
      <c r="D353" s="2" t="s">
        <v>361</v>
      </c>
      <c r="E353" s="2">
        <f>4</f>
        <v>4</v>
      </c>
      <c r="F353" s="2">
        <f>635</f>
        <v>635</v>
      </c>
      <c r="G353" s="3">
        <f t="shared" si="10"/>
        <v>158.75</v>
      </c>
    </row>
    <row r="354" spans="1:7" ht="15">
      <c r="A354" s="5">
        <v>10</v>
      </c>
      <c r="B354" s="2" t="s">
        <v>362</v>
      </c>
      <c r="C354" s="2">
        <v>1983</v>
      </c>
      <c r="D354" s="2" t="s">
        <v>25</v>
      </c>
      <c r="E354" s="2">
        <f>16</f>
        <v>16</v>
      </c>
      <c r="F354" s="2">
        <f>637+896+955</f>
        <v>2488</v>
      </c>
      <c r="G354" s="3">
        <f t="shared" si="10"/>
        <v>155.5</v>
      </c>
    </row>
    <row r="355" spans="1:7" ht="15">
      <c r="A355" s="5">
        <v>11</v>
      </c>
      <c r="B355" s="2" t="s">
        <v>363</v>
      </c>
      <c r="C355" s="2">
        <v>1983</v>
      </c>
      <c r="D355" s="2" t="s">
        <v>25</v>
      </c>
      <c r="E355" s="2"/>
      <c r="F355" s="2"/>
      <c r="G355" s="3">
        <v>0</v>
      </c>
    </row>
    <row r="356" spans="1:7" ht="15">
      <c r="A356" s="1">
        <v>12</v>
      </c>
      <c r="B356" s="2" t="s">
        <v>364</v>
      </c>
      <c r="C356" s="2">
        <v>1983</v>
      </c>
      <c r="D356" s="2" t="s">
        <v>33</v>
      </c>
      <c r="E356" s="2"/>
      <c r="F356" s="2"/>
      <c r="G356" s="3">
        <v>0</v>
      </c>
    </row>
    <row r="357" spans="1:7" ht="15">
      <c r="A357" s="1">
        <v>13</v>
      </c>
      <c r="B357" s="2" t="s">
        <v>365</v>
      </c>
      <c r="C357" s="2">
        <v>1983</v>
      </c>
      <c r="D357" s="2" t="s">
        <v>33</v>
      </c>
      <c r="E357" s="2"/>
      <c r="F357" s="2"/>
      <c r="G357" s="3">
        <v>0</v>
      </c>
    </row>
    <row r="358" spans="1:7" ht="15">
      <c r="A358" s="1">
        <v>14</v>
      </c>
      <c r="B358" s="2" t="s">
        <v>366</v>
      </c>
      <c r="C358" s="2">
        <v>1980</v>
      </c>
      <c r="D358" s="2" t="s">
        <v>367</v>
      </c>
      <c r="E358" s="2"/>
      <c r="F358" s="2"/>
      <c r="G358" s="3">
        <v>0</v>
      </c>
    </row>
    <row r="359" spans="1:7" ht="15">
      <c r="A359" s="1">
        <v>15</v>
      </c>
      <c r="B359" s="2" t="s">
        <v>368</v>
      </c>
      <c r="C359" s="2">
        <v>1983</v>
      </c>
      <c r="D359" s="2" t="s">
        <v>64</v>
      </c>
      <c r="E359" s="2"/>
      <c r="F359" s="2"/>
      <c r="G359" s="3">
        <v>0</v>
      </c>
    </row>
    <row r="360" spans="1:7" ht="15">
      <c r="A360" s="1">
        <v>16</v>
      </c>
      <c r="B360" s="2" t="s">
        <v>369</v>
      </c>
      <c r="C360" s="2">
        <v>1983</v>
      </c>
      <c r="D360" s="2" t="s">
        <v>102</v>
      </c>
      <c r="E360" s="2"/>
      <c r="F360" s="2"/>
      <c r="G360" s="3">
        <v>0</v>
      </c>
    </row>
    <row r="361" spans="1:7" ht="15">
      <c r="A361" s="1">
        <v>17</v>
      </c>
      <c r="B361" s="2" t="s">
        <v>370</v>
      </c>
      <c r="C361" s="2">
        <v>1983</v>
      </c>
      <c r="D361" s="2" t="s">
        <v>52</v>
      </c>
      <c r="E361" s="2"/>
      <c r="F361" s="2"/>
      <c r="G361" s="3">
        <v>0</v>
      </c>
    </row>
    <row r="362" spans="1:7" ht="15.75" thickBot="1">
      <c r="A362" s="1"/>
      <c r="B362" s="2"/>
      <c r="C362" s="2"/>
      <c r="D362" s="2"/>
      <c r="E362" s="2"/>
      <c r="F362" s="2"/>
      <c r="G362" s="2"/>
    </row>
    <row r="363" spans="1:7" ht="21" thickBot="1">
      <c r="A363" s="5"/>
      <c r="B363" s="11" t="s">
        <v>371</v>
      </c>
      <c r="C363" s="2"/>
      <c r="D363" s="2"/>
      <c r="E363" s="2"/>
      <c r="F363" s="2"/>
      <c r="G363" s="3"/>
    </row>
    <row r="364" spans="1:7" ht="15">
      <c r="A364" s="5"/>
      <c r="B364" s="13"/>
      <c r="C364" s="2"/>
      <c r="D364" s="2"/>
      <c r="E364" s="2"/>
      <c r="F364" s="2"/>
      <c r="G364" s="3"/>
    </row>
    <row r="365" spans="1:7" ht="15">
      <c r="A365" s="5"/>
      <c r="B365" s="2"/>
      <c r="C365" s="2"/>
      <c r="D365" s="2"/>
      <c r="E365" s="2"/>
      <c r="F365" s="2"/>
      <c r="G365" s="3"/>
    </row>
    <row r="366" spans="1:7" ht="15">
      <c r="A366" s="5"/>
      <c r="B366" s="2"/>
      <c r="C366" s="2"/>
      <c r="D366" s="2"/>
      <c r="E366" s="2"/>
      <c r="F366" s="2"/>
      <c r="G366" s="2"/>
    </row>
    <row r="367" spans="1:7" ht="15">
      <c r="A367" s="5">
        <f>A366+1</f>
        <v>1</v>
      </c>
      <c r="B367" s="2" t="s">
        <v>372</v>
      </c>
      <c r="C367" s="2">
        <v>1985</v>
      </c>
      <c r="D367" s="2" t="s">
        <v>21</v>
      </c>
      <c r="E367" s="2">
        <f>16+3+14</f>
        <v>33</v>
      </c>
      <c r="F367" s="2">
        <f>733+688+821+768+588+2715</f>
        <v>6313</v>
      </c>
      <c r="G367" s="3">
        <f aca="true" t="shared" si="12" ref="G367:G409">F367/E367</f>
        <v>191.3030303030303</v>
      </c>
    </row>
    <row r="368" spans="1:7" ht="15">
      <c r="A368" s="5">
        <f aca="true" t="shared" si="13" ref="A368:A403">A367+1</f>
        <v>2</v>
      </c>
      <c r="B368" s="2" t="s">
        <v>373</v>
      </c>
      <c r="C368" s="2">
        <v>1985</v>
      </c>
      <c r="D368" s="2" t="s">
        <v>21</v>
      </c>
      <c r="E368" s="2">
        <f>16+3</f>
        <v>19</v>
      </c>
      <c r="F368" s="2">
        <f>665+553+370+572+637+509</f>
        <v>3306</v>
      </c>
      <c r="G368" s="3">
        <f t="shared" si="12"/>
        <v>174</v>
      </c>
    </row>
    <row r="369" spans="1:7" ht="15">
      <c r="A369" s="5">
        <f t="shared" si="13"/>
        <v>3</v>
      </c>
      <c r="B369" s="2" t="s">
        <v>374</v>
      </c>
      <c r="C369" s="2">
        <v>1987</v>
      </c>
      <c r="D369" s="2" t="s">
        <v>234</v>
      </c>
      <c r="E369" s="2">
        <f>16</f>
        <v>16</v>
      </c>
      <c r="F369" s="2">
        <v>2766</v>
      </c>
      <c r="G369" s="3">
        <f t="shared" si="12"/>
        <v>172.875</v>
      </c>
    </row>
    <row r="370" spans="1:7" ht="15">
      <c r="A370" s="5">
        <f t="shared" si="13"/>
        <v>4</v>
      </c>
      <c r="B370" s="2" t="s">
        <v>375</v>
      </c>
      <c r="C370" s="2">
        <v>1987</v>
      </c>
      <c r="D370" s="2" t="s">
        <v>10</v>
      </c>
      <c r="E370" s="2">
        <f>13+9+3+14</f>
        <v>39</v>
      </c>
      <c r="F370" s="2">
        <f>145+652+557+171+653+1706+478+2350</f>
        <v>6712</v>
      </c>
      <c r="G370" s="3">
        <f t="shared" si="12"/>
        <v>172.10256410256412</v>
      </c>
    </row>
    <row r="371" spans="1:7" ht="15">
      <c r="A371" s="5">
        <f t="shared" si="13"/>
        <v>5</v>
      </c>
      <c r="B371" s="2" t="s">
        <v>376</v>
      </c>
      <c r="C371" s="2">
        <v>1985</v>
      </c>
      <c r="D371" s="2" t="s">
        <v>93</v>
      </c>
      <c r="E371" s="2">
        <f>9+31+14</f>
        <v>54</v>
      </c>
      <c r="F371" s="2">
        <f>1627+5296+2280</f>
        <v>9203</v>
      </c>
      <c r="G371" s="3">
        <f t="shared" si="12"/>
        <v>170.42592592592592</v>
      </c>
    </row>
    <row r="372" spans="1:7" ht="15">
      <c r="A372" s="5">
        <f t="shared" si="13"/>
        <v>6</v>
      </c>
      <c r="B372" s="2" t="s">
        <v>377</v>
      </c>
      <c r="C372" s="2">
        <v>1987</v>
      </c>
      <c r="D372" s="2" t="s">
        <v>36</v>
      </c>
      <c r="E372" s="2">
        <f>21+6+2+14</f>
        <v>43</v>
      </c>
      <c r="F372" s="2">
        <f>601+371+698+424+595+682+1006+352+645+776+1133</f>
        <v>7283</v>
      </c>
      <c r="G372" s="3">
        <f t="shared" si="12"/>
        <v>169.37209302325581</v>
      </c>
    </row>
    <row r="373" spans="1:7" ht="15">
      <c r="A373" s="5">
        <f t="shared" si="13"/>
        <v>7</v>
      </c>
      <c r="B373" s="2" t="s">
        <v>378</v>
      </c>
      <c r="C373" s="2">
        <v>1987</v>
      </c>
      <c r="D373" s="2" t="s">
        <v>25</v>
      </c>
      <c r="E373" s="2">
        <f>19+6+1+14</f>
        <v>40</v>
      </c>
      <c r="F373" s="2">
        <f>444+457+650+680+460+292+994+135+662+875+1119</f>
        <v>6768</v>
      </c>
      <c r="G373" s="3">
        <f t="shared" si="12"/>
        <v>169.2</v>
      </c>
    </row>
    <row r="374" spans="1:7" ht="15">
      <c r="A374" s="5">
        <f t="shared" si="13"/>
        <v>8</v>
      </c>
      <c r="B374" s="2" t="s">
        <v>379</v>
      </c>
      <c r="C374" s="2">
        <v>1984</v>
      </c>
      <c r="D374" s="2" t="s">
        <v>93</v>
      </c>
      <c r="E374" s="2">
        <f>6+20+8</f>
        <v>34</v>
      </c>
      <c r="F374" s="2">
        <f>876+3424+536+715</f>
        <v>5551</v>
      </c>
      <c r="G374" s="3">
        <f t="shared" si="12"/>
        <v>163.26470588235293</v>
      </c>
    </row>
    <row r="375" spans="1:7" ht="15">
      <c r="A375" s="5">
        <f t="shared" si="13"/>
        <v>9</v>
      </c>
      <c r="B375" s="2" t="s">
        <v>380</v>
      </c>
      <c r="C375" s="2">
        <v>1986</v>
      </c>
      <c r="D375" s="2" t="s">
        <v>93</v>
      </c>
      <c r="E375" s="2">
        <f>19+8</f>
        <v>27</v>
      </c>
      <c r="F375" s="2">
        <f>3142+574+688</f>
        <v>4404</v>
      </c>
      <c r="G375" s="3">
        <f t="shared" si="12"/>
        <v>163.11111111111111</v>
      </c>
    </row>
    <row r="376" spans="1:7" ht="15">
      <c r="A376" s="5">
        <f t="shared" si="13"/>
        <v>10</v>
      </c>
      <c r="B376" s="2" t="s">
        <v>381</v>
      </c>
      <c r="C376" s="2">
        <v>1987</v>
      </c>
      <c r="D376" s="2" t="s">
        <v>36</v>
      </c>
      <c r="E376" s="2">
        <f>19+2+14</f>
        <v>35</v>
      </c>
      <c r="F376" s="2">
        <f>456+650+709+260+447+482+295+628+687+1040</f>
        <v>5654</v>
      </c>
      <c r="G376" s="3">
        <f t="shared" si="12"/>
        <v>161.54285714285714</v>
      </c>
    </row>
    <row r="377" spans="1:7" ht="15">
      <c r="A377" s="5">
        <f t="shared" si="13"/>
        <v>11</v>
      </c>
      <c r="B377" s="2" t="s">
        <v>382</v>
      </c>
      <c r="C377" s="2">
        <v>1986</v>
      </c>
      <c r="D377" s="2" t="s">
        <v>64</v>
      </c>
      <c r="E377" s="2">
        <f>19+3+14</f>
        <v>36</v>
      </c>
      <c r="F377" s="2">
        <f>667+649+657+448+632+385+2311</f>
        <v>5749</v>
      </c>
      <c r="G377" s="3">
        <f t="shared" si="12"/>
        <v>159.69444444444446</v>
      </c>
    </row>
    <row r="378" spans="1:7" ht="15">
      <c r="A378" s="5">
        <f t="shared" si="13"/>
        <v>12</v>
      </c>
      <c r="B378" s="2" t="s">
        <v>383</v>
      </c>
      <c r="C378" s="2">
        <v>1986</v>
      </c>
      <c r="D378" s="2" t="s">
        <v>384</v>
      </c>
      <c r="E378" s="2">
        <f>20</f>
        <v>20</v>
      </c>
      <c r="F378" s="2">
        <f>3126</f>
        <v>3126</v>
      </c>
      <c r="G378" s="3">
        <f t="shared" si="12"/>
        <v>156.3</v>
      </c>
    </row>
    <row r="379" spans="1:7" ht="15">
      <c r="A379" s="5">
        <f t="shared" si="13"/>
        <v>13</v>
      </c>
      <c r="B379" s="2" t="s">
        <v>385</v>
      </c>
      <c r="C379" s="2">
        <v>1985</v>
      </c>
      <c r="D379" s="2" t="s">
        <v>16</v>
      </c>
      <c r="E379" s="2">
        <f>13+3+8</f>
        <v>24</v>
      </c>
      <c r="F379" s="2">
        <f>137+678+629+519+469+563+687</f>
        <v>3682</v>
      </c>
      <c r="G379" s="3">
        <f t="shared" si="12"/>
        <v>153.41666666666666</v>
      </c>
    </row>
    <row r="380" spans="1:7" ht="15">
      <c r="A380" s="5">
        <f t="shared" si="13"/>
        <v>14</v>
      </c>
      <c r="B380" s="2" t="s">
        <v>386</v>
      </c>
      <c r="C380" s="2">
        <v>1984</v>
      </c>
      <c r="D380" s="2" t="s">
        <v>25</v>
      </c>
      <c r="E380" s="2">
        <f>19+3</f>
        <v>22</v>
      </c>
      <c r="F380" s="2">
        <f>696+605+612+466+592+381</f>
        <v>3352</v>
      </c>
      <c r="G380" s="3">
        <f t="shared" si="12"/>
        <v>152.36363636363637</v>
      </c>
    </row>
    <row r="381" spans="1:7" ht="15">
      <c r="A381" s="5">
        <f t="shared" si="13"/>
        <v>15</v>
      </c>
      <c r="B381" s="2" t="s">
        <v>387</v>
      </c>
      <c r="C381" s="2">
        <v>1987</v>
      </c>
      <c r="D381" s="2" t="s">
        <v>25</v>
      </c>
      <c r="E381" s="2">
        <f>21+6+2</f>
        <v>29</v>
      </c>
      <c r="F381" s="2">
        <f>431+635+636+620+392+442+892+319</f>
        <v>4367</v>
      </c>
      <c r="G381" s="3">
        <f t="shared" si="12"/>
        <v>150.58620689655172</v>
      </c>
    </row>
    <row r="382" spans="1:7" ht="15">
      <c r="A382" s="5">
        <f t="shared" si="13"/>
        <v>16</v>
      </c>
      <c r="B382" s="2" t="s">
        <v>388</v>
      </c>
      <c r="C382" s="2">
        <v>1987</v>
      </c>
      <c r="D382" s="2" t="s">
        <v>93</v>
      </c>
      <c r="E382" s="2">
        <f>3</f>
        <v>3</v>
      </c>
      <c r="F382" s="2">
        <f>448</f>
        <v>448</v>
      </c>
      <c r="G382" s="3">
        <f t="shared" si="12"/>
        <v>149.33333333333334</v>
      </c>
    </row>
    <row r="383" spans="1:7" ht="15">
      <c r="A383" s="5">
        <f t="shared" si="13"/>
        <v>17</v>
      </c>
      <c r="B383" s="2" t="s">
        <v>389</v>
      </c>
      <c r="C383" s="2">
        <v>1984</v>
      </c>
      <c r="D383" s="2" t="s">
        <v>384</v>
      </c>
      <c r="E383" s="2">
        <f>10</f>
        <v>10</v>
      </c>
      <c r="F383" s="2">
        <f>1473</f>
        <v>1473</v>
      </c>
      <c r="G383" s="3">
        <f t="shared" si="12"/>
        <v>147.3</v>
      </c>
    </row>
    <row r="384" spans="1:7" ht="15">
      <c r="A384" s="5">
        <f t="shared" si="13"/>
        <v>18</v>
      </c>
      <c r="B384" s="2" t="s">
        <v>390</v>
      </c>
      <c r="C384" s="2">
        <v>1984</v>
      </c>
      <c r="D384" s="2" t="s">
        <v>95</v>
      </c>
      <c r="E384" s="2">
        <f>12+3</f>
        <v>15</v>
      </c>
      <c r="F384" s="2">
        <f>522+547+627+479</f>
        <v>2175</v>
      </c>
      <c r="G384" s="3">
        <f t="shared" si="12"/>
        <v>145</v>
      </c>
    </row>
    <row r="385" spans="1:7" ht="15">
      <c r="A385" s="5">
        <f t="shared" si="13"/>
        <v>19</v>
      </c>
      <c r="B385" s="2" t="s">
        <v>391</v>
      </c>
      <c r="C385" s="2">
        <v>1985</v>
      </c>
      <c r="D385" s="2" t="s">
        <v>95</v>
      </c>
      <c r="E385" s="2">
        <f>27+3+8</f>
        <v>38</v>
      </c>
      <c r="F385" s="2">
        <f>603+561+591+563+573+560+404+435+597+618</f>
        <v>5505</v>
      </c>
      <c r="G385" s="3">
        <f t="shared" si="12"/>
        <v>144.8684210526316</v>
      </c>
    </row>
    <row r="386" spans="1:7" ht="15">
      <c r="A386" s="5">
        <f t="shared" si="13"/>
        <v>20</v>
      </c>
      <c r="B386" s="2" t="s">
        <v>392</v>
      </c>
      <c r="C386" s="2">
        <v>1984</v>
      </c>
      <c r="D386" s="2" t="s">
        <v>25</v>
      </c>
      <c r="E386" s="2">
        <f>10+3</f>
        <v>13</v>
      </c>
      <c r="F386" s="2">
        <f>553+573+292+431</f>
        <v>1849</v>
      </c>
      <c r="G386" s="3">
        <f t="shared" si="12"/>
        <v>142.23076923076923</v>
      </c>
    </row>
    <row r="387" spans="1:7" ht="15">
      <c r="A387" s="5">
        <f t="shared" si="13"/>
        <v>21</v>
      </c>
      <c r="B387" s="2" t="s">
        <v>393</v>
      </c>
      <c r="C387" s="2">
        <v>1985</v>
      </c>
      <c r="D387" s="2" t="s">
        <v>95</v>
      </c>
      <c r="E387" s="2">
        <f>12</f>
        <v>12</v>
      </c>
      <c r="F387" s="2">
        <f>538+579+572</f>
        <v>1689</v>
      </c>
      <c r="G387" s="3">
        <f t="shared" si="12"/>
        <v>140.75</v>
      </c>
    </row>
    <row r="388" spans="1:7" ht="15">
      <c r="A388" s="5">
        <f t="shared" si="13"/>
        <v>22</v>
      </c>
      <c r="B388" s="2" t="s">
        <v>394</v>
      </c>
      <c r="C388" s="2">
        <v>1987</v>
      </c>
      <c r="D388" s="2" t="s">
        <v>16</v>
      </c>
      <c r="E388" s="2">
        <f>24+6+3+14</f>
        <v>47</v>
      </c>
      <c r="F388" s="2">
        <f>446+473+530+534+556+640+810+420+586+637+899</f>
        <v>6531</v>
      </c>
      <c r="G388" s="3">
        <f t="shared" si="12"/>
        <v>138.95744680851064</v>
      </c>
    </row>
    <row r="389" spans="1:7" ht="15">
      <c r="A389" s="5">
        <f t="shared" si="13"/>
        <v>23</v>
      </c>
      <c r="B389" s="2" t="s">
        <v>395</v>
      </c>
      <c r="C389" s="2">
        <v>1986</v>
      </c>
      <c r="D389" s="2" t="s">
        <v>25</v>
      </c>
      <c r="E389" s="2">
        <f>24+3</f>
        <v>27</v>
      </c>
      <c r="F389" s="2">
        <f>540+532+573+630+495+505+471</f>
        <v>3746</v>
      </c>
      <c r="G389" s="3">
        <f t="shared" si="12"/>
        <v>138.74074074074073</v>
      </c>
    </row>
    <row r="390" spans="1:7" ht="15">
      <c r="A390" s="5">
        <f t="shared" si="13"/>
        <v>24</v>
      </c>
      <c r="B390" s="2" t="s">
        <v>396</v>
      </c>
      <c r="C390" s="2">
        <v>1985</v>
      </c>
      <c r="D390" s="2" t="s">
        <v>95</v>
      </c>
      <c r="E390" s="2">
        <f>16+3</f>
        <v>19</v>
      </c>
      <c r="F390" s="2">
        <f>625+522+473+471+492</f>
        <v>2583</v>
      </c>
      <c r="G390" s="3">
        <f t="shared" si="12"/>
        <v>135.94736842105263</v>
      </c>
    </row>
    <row r="391" spans="1:7" ht="15">
      <c r="A391" s="40">
        <f t="shared" si="13"/>
        <v>25</v>
      </c>
      <c r="B391" s="41" t="s">
        <v>397</v>
      </c>
      <c r="C391" s="41">
        <v>1986</v>
      </c>
      <c r="D391" s="41" t="s">
        <v>47</v>
      </c>
      <c r="E391" s="41">
        <f>16</f>
        <v>16</v>
      </c>
      <c r="F391" s="41">
        <f>506+273+263+549+581</f>
        <v>2172</v>
      </c>
      <c r="G391" s="42">
        <f t="shared" si="12"/>
        <v>135.75</v>
      </c>
    </row>
    <row r="392" spans="1:7" ht="15">
      <c r="A392" s="5">
        <f t="shared" si="13"/>
        <v>26</v>
      </c>
      <c r="B392" s="2" t="s">
        <v>398</v>
      </c>
      <c r="C392" s="2">
        <v>1984</v>
      </c>
      <c r="D392" s="2" t="s">
        <v>93</v>
      </c>
      <c r="E392" s="2">
        <f>4</f>
        <v>4</v>
      </c>
      <c r="F392" s="2">
        <f>530</f>
        <v>530</v>
      </c>
      <c r="G392" s="3">
        <f t="shared" si="12"/>
        <v>132.5</v>
      </c>
    </row>
    <row r="393" spans="1:7" ht="15">
      <c r="A393" s="5">
        <f t="shared" si="13"/>
        <v>27</v>
      </c>
      <c r="B393" s="2" t="s">
        <v>399</v>
      </c>
      <c r="C393" s="2">
        <v>1985</v>
      </c>
      <c r="D393" s="2" t="s">
        <v>400</v>
      </c>
      <c r="E393" s="2">
        <f>8</f>
        <v>8</v>
      </c>
      <c r="F393" s="2">
        <f>555+502</f>
        <v>1057</v>
      </c>
      <c r="G393" s="3">
        <f t="shared" si="12"/>
        <v>132.125</v>
      </c>
    </row>
    <row r="394" spans="1:7" ht="15">
      <c r="A394" s="5">
        <f t="shared" si="13"/>
        <v>28</v>
      </c>
      <c r="B394" s="2" t="s">
        <v>401</v>
      </c>
      <c r="C394" s="2">
        <v>1985</v>
      </c>
      <c r="D394" s="2" t="s">
        <v>52</v>
      </c>
      <c r="E394" s="2">
        <f>16+3+8</f>
        <v>27</v>
      </c>
      <c r="F394" s="2">
        <f>263+504+430+480+376+424+501+588</f>
        <v>3566</v>
      </c>
      <c r="G394" s="3">
        <f t="shared" si="12"/>
        <v>132.07407407407408</v>
      </c>
    </row>
    <row r="395" spans="1:7" ht="15">
      <c r="A395" s="5">
        <f t="shared" si="13"/>
        <v>29</v>
      </c>
      <c r="B395" s="2" t="s">
        <v>402</v>
      </c>
      <c r="C395" s="2">
        <v>1986</v>
      </c>
      <c r="D395" s="2" t="s">
        <v>93</v>
      </c>
      <c r="E395" s="2">
        <f>4</f>
        <v>4</v>
      </c>
      <c r="F395" s="2">
        <f>528</f>
        <v>528</v>
      </c>
      <c r="G395" s="3">
        <f t="shared" si="12"/>
        <v>132</v>
      </c>
    </row>
    <row r="396" spans="1:7" ht="15">
      <c r="A396" s="5">
        <f t="shared" si="13"/>
        <v>30</v>
      </c>
      <c r="B396" s="2" t="s">
        <v>403</v>
      </c>
      <c r="C396" s="2">
        <v>1986</v>
      </c>
      <c r="D396" s="2" t="s">
        <v>102</v>
      </c>
      <c r="E396" s="2">
        <f>16+3</f>
        <v>19</v>
      </c>
      <c r="F396" s="2">
        <f>348+560+430+356+397+401</f>
        <v>2492</v>
      </c>
      <c r="G396" s="3">
        <f t="shared" si="12"/>
        <v>131.1578947368421</v>
      </c>
    </row>
    <row r="397" spans="1:7" ht="15">
      <c r="A397" s="5">
        <f t="shared" si="13"/>
        <v>31</v>
      </c>
      <c r="B397" s="2" t="s">
        <v>404</v>
      </c>
      <c r="C397" s="2">
        <v>1984</v>
      </c>
      <c r="D397" s="2" t="s">
        <v>25</v>
      </c>
      <c r="E397" s="2">
        <f>15+3</f>
        <v>18</v>
      </c>
      <c r="F397" s="2">
        <f>513+553+373+488+431</f>
        <v>2358</v>
      </c>
      <c r="G397" s="3">
        <f t="shared" si="12"/>
        <v>131</v>
      </c>
    </row>
    <row r="398" spans="1:7" ht="15">
      <c r="A398" s="5">
        <f t="shared" si="13"/>
        <v>32</v>
      </c>
      <c r="B398" s="2" t="s">
        <v>405</v>
      </c>
      <c r="C398" s="2">
        <v>1984</v>
      </c>
      <c r="D398" s="2" t="s">
        <v>95</v>
      </c>
      <c r="E398" s="2">
        <f>24+3</f>
        <v>27</v>
      </c>
      <c r="F398" s="2">
        <f>456+516+531+581+565+443+377</f>
        <v>3469</v>
      </c>
      <c r="G398" s="3">
        <f t="shared" si="12"/>
        <v>128.4814814814815</v>
      </c>
    </row>
    <row r="399" spans="1:7" ht="15">
      <c r="A399" s="5">
        <f t="shared" si="13"/>
        <v>33</v>
      </c>
      <c r="B399" s="2" t="s">
        <v>406</v>
      </c>
      <c r="C399" s="2">
        <v>1987</v>
      </c>
      <c r="D399" s="2" t="s">
        <v>25</v>
      </c>
      <c r="E399" s="2">
        <f>20</f>
        <v>20</v>
      </c>
      <c r="F399" s="2">
        <f>502+490+475+592+503</f>
        <v>2562</v>
      </c>
      <c r="G399" s="3">
        <f t="shared" si="12"/>
        <v>128.1</v>
      </c>
    </row>
    <row r="400" spans="1:7" ht="15">
      <c r="A400" s="5">
        <f t="shared" si="13"/>
        <v>34</v>
      </c>
      <c r="B400" s="2" t="s">
        <v>407</v>
      </c>
      <c r="C400" s="2">
        <v>1986</v>
      </c>
      <c r="D400" s="2" t="s">
        <v>52</v>
      </c>
      <c r="E400" s="2">
        <f>14+3+8</f>
        <v>25</v>
      </c>
      <c r="F400" s="2">
        <f>395+531+440+541+335+488+445</f>
        <v>3175</v>
      </c>
      <c r="G400" s="3">
        <f t="shared" si="12"/>
        <v>127</v>
      </c>
    </row>
    <row r="401" spans="1:7" ht="15">
      <c r="A401" s="5">
        <f t="shared" si="13"/>
        <v>35</v>
      </c>
      <c r="B401" s="2" t="s">
        <v>408</v>
      </c>
      <c r="C401" s="2">
        <v>1987</v>
      </c>
      <c r="D401" s="2" t="s">
        <v>232</v>
      </c>
      <c r="E401" s="2">
        <f>8</f>
        <v>8</v>
      </c>
      <c r="F401" s="2">
        <f>482+516</f>
        <v>998</v>
      </c>
      <c r="G401" s="3">
        <f t="shared" si="12"/>
        <v>124.75</v>
      </c>
    </row>
    <row r="402" spans="1:7" ht="15">
      <c r="A402" s="5">
        <f t="shared" si="13"/>
        <v>36</v>
      </c>
      <c r="B402" s="2" t="s">
        <v>409</v>
      </c>
      <c r="C402" s="2">
        <v>1985</v>
      </c>
      <c r="D402" s="2" t="s">
        <v>25</v>
      </c>
      <c r="E402" s="2">
        <f>4+4+3</f>
        <v>11</v>
      </c>
      <c r="F402" s="2">
        <f>492+423+379</f>
        <v>1294</v>
      </c>
      <c r="G402" s="3">
        <f t="shared" si="12"/>
        <v>117.63636363636364</v>
      </c>
    </row>
    <row r="403" spans="1:7" ht="15">
      <c r="A403" s="5">
        <f t="shared" si="13"/>
        <v>37</v>
      </c>
      <c r="B403" s="2" t="s">
        <v>410</v>
      </c>
      <c r="C403" s="2">
        <v>1985</v>
      </c>
      <c r="D403" s="2" t="s">
        <v>52</v>
      </c>
      <c r="E403" s="2">
        <f>18+3</f>
        <v>21</v>
      </c>
      <c r="F403" s="2">
        <f>311+375+398+322+540+442</f>
        <v>2388</v>
      </c>
      <c r="G403" s="3">
        <f t="shared" si="12"/>
        <v>113.71428571428571</v>
      </c>
    </row>
    <row r="404" spans="1:7" ht="15">
      <c r="A404" s="5">
        <v>39</v>
      </c>
      <c r="B404" s="2" t="s">
        <v>411</v>
      </c>
      <c r="C404" s="2">
        <v>1986</v>
      </c>
      <c r="D404" s="2" t="s">
        <v>64</v>
      </c>
      <c r="E404" s="2">
        <f>2+2</f>
        <v>4</v>
      </c>
      <c r="F404" s="2">
        <f>214+239</f>
        <v>453</v>
      </c>
      <c r="G404" s="3">
        <f t="shared" si="12"/>
        <v>113.25</v>
      </c>
    </row>
    <row r="405" spans="1:7" ht="15">
      <c r="A405" s="5">
        <v>40</v>
      </c>
      <c r="B405" s="2" t="s">
        <v>412</v>
      </c>
      <c r="C405" s="2">
        <v>1987</v>
      </c>
      <c r="D405" s="2" t="s">
        <v>21</v>
      </c>
      <c r="E405" s="2">
        <f>10+3+8</f>
        <v>21</v>
      </c>
      <c r="F405" s="2">
        <f>292+326+544+306+483+411</f>
        <v>2362</v>
      </c>
      <c r="G405" s="3">
        <f t="shared" si="12"/>
        <v>112.47619047619048</v>
      </c>
    </row>
    <row r="406" spans="1:7" ht="15">
      <c r="A406" s="5">
        <v>41</v>
      </c>
      <c r="B406" s="2" t="s">
        <v>413</v>
      </c>
      <c r="C406" s="2">
        <v>1986</v>
      </c>
      <c r="D406" s="2" t="s">
        <v>21</v>
      </c>
      <c r="E406" s="2">
        <f>18+3</f>
        <v>21</v>
      </c>
      <c r="F406" s="2">
        <f>395+294+335+467+439+333</f>
        <v>2263</v>
      </c>
      <c r="G406" s="3">
        <f t="shared" si="12"/>
        <v>107.76190476190476</v>
      </c>
    </row>
    <row r="407" spans="1:7" ht="15">
      <c r="A407" s="5">
        <v>42</v>
      </c>
      <c r="B407" s="2" t="s">
        <v>414</v>
      </c>
      <c r="C407" s="2">
        <v>1986</v>
      </c>
      <c r="D407" s="2" t="s">
        <v>25</v>
      </c>
      <c r="E407" s="2">
        <f>4+2+3+3+8</f>
        <v>20</v>
      </c>
      <c r="F407" s="2">
        <f>347+179+371+304+461+456</f>
        <v>2118</v>
      </c>
      <c r="G407" s="3">
        <f t="shared" si="12"/>
        <v>105.9</v>
      </c>
    </row>
    <row r="408" spans="1:7" ht="15">
      <c r="A408" s="1">
        <v>43</v>
      </c>
      <c r="B408" s="2" t="s">
        <v>415</v>
      </c>
      <c r="C408" s="2">
        <v>1987</v>
      </c>
      <c r="D408" s="2" t="s">
        <v>52</v>
      </c>
      <c r="E408" s="2">
        <f>8+8</f>
        <v>16</v>
      </c>
      <c r="F408" s="2">
        <f>215+386+107+93+439+442</f>
        <v>1682</v>
      </c>
      <c r="G408" s="3">
        <f t="shared" si="12"/>
        <v>105.125</v>
      </c>
    </row>
    <row r="409" spans="1:7" ht="15">
      <c r="A409" s="1">
        <v>44</v>
      </c>
      <c r="B409" s="2" t="s">
        <v>416</v>
      </c>
      <c r="C409" s="2">
        <v>1986</v>
      </c>
      <c r="D409" s="2" t="s">
        <v>25</v>
      </c>
      <c r="E409" s="2">
        <f>4+3</f>
        <v>7</v>
      </c>
      <c r="F409" s="2">
        <f>395+337</f>
        <v>732</v>
      </c>
      <c r="G409" s="3">
        <f t="shared" si="12"/>
        <v>104.57142857142857</v>
      </c>
    </row>
    <row r="410" spans="1:7" ht="15">
      <c r="A410" s="1"/>
      <c r="B410" s="2"/>
      <c r="C410" s="2"/>
      <c r="D410" s="2"/>
      <c r="E410" s="2"/>
      <c r="F410" s="2"/>
      <c r="G410" s="2"/>
    </row>
    <row r="411" spans="1:7" ht="15.75" thickBot="1">
      <c r="A411" s="1"/>
      <c r="B411" s="2"/>
      <c r="C411" s="2"/>
      <c r="D411" s="2"/>
      <c r="E411" s="2"/>
      <c r="F411" s="2"/>
      <c r="G411" s="2"/>
    </row>
    <row r="412" spans="1:7" ht="21" thickBot="1">
      <c r="A412" s="5"/>
      <c r="B412" s="11" t="s">
        <v>417</v>
      </c>
      <c r="C412" s="2"/>
      <c r="D412" s="2"/>
      <c r="E412" s="2"/>
      <c r="F412" s="2"/>
      <c r="G412" s="2"/>
    </row>
    <row r="413" spans="1:7" ht="15">
      <c r="A413" s="5"/>
      <c r="B413" s="2"/>
      <c r="C413" s="2"/>
      <c r="D413" s="2"/>
      <c r="E413" s="2"/>
      <c r="F413" s="2"/>
      <c r="G413" s="2"/>
    </row>
    <row r="414" spans="1:7" ht="15">
      <c r="A414" s="5"/>
      <c r="B414" s="2"/>
      <c r="C414" s="2"/>
      <c r="D414" s="2"/>
      <c r="E414" s="2"/>
      <c r="F414" s="2"/>
      <c r="G414" s="2"/>
    </row>
    <row r="415" spans="1:7" ht="15">
      <c r="A415" s="5">
        <v>1</v>
      </c>
      <c r="B415" s="2" t="s">
        <v>418</v>
      </c>
      <c r="C415" s="2">
        <v>1988</v>
      </c>
      <c r="D415" s="2" t="s">
        <v>25</v>
      </c>
      <c r="E415" s="2">
        <f>21+3+6+3+14</f>
        <v>47</v>
      </c>
      <c r="F415" s="2">
        <f>619+204+701+662+664+757+516+932+556+2405</f>
        <v>8016</v>
      </c>
      <c r="G415" s="3">
        <f aca="true" t="shared" si="14" ref="G415:G478">F415/E415</f>
        <v>170.5531914893617</v>
      </c>
    </row>
    <row r="416" spans="1:7" ht="15">
      <c r="A416" s="5">
        <f aca="true" t="shared" si="15" ref="A416:A462">A415+1</f>
        <v>2</v>
      </c>
      <c r="B416" s="12" t="s">
        <v>419</v>
      </c>
      <c r="C416" s="12">
        <v>1988</v>
      </c>
      <c r="D416" s="12" t="s">
        <v>80</v>
      </c>
      <c r="E416" s="2">
        <f>15</f>
        <v>15</v>
      </c>
      <c r="F416" s="2">
        <f>2387</f>
        <v>2387</v>
      </c>
      <c r="G416" s="3">
        <f t="shared" si="14"/>
        <v>159.13333333333333</v>
      </c>
    </row>
    <row r="417" spans="1:7" ht="15">
      <c r="A417" s="5">
        <f t="shared" si="15"/>
        <v>3</v>
      </c>
      <c r="B417" s="2" t="s">
        <v>420</v>
      </c>
      <c r="C417" s="2">
        <v>1989</v>
      </c>
      <c r="D417" s="2" t="s">
        <v>91</v>
      </c>
      <c r="E417" s="2">
        <f>22</f>
        <v>22</v>
      </c>
      <c r="F417" s="2">
        <f>3494</f>
        <v>3494</v>
      </c>
      <c r="G417" s="3">
        <f t="shared" si="14"/>
        <v>158.8181818181818</v>
      </c>
    </row>
    <row r="418" spans="1:7" ht="15">
      <c r="A418" s="5">
        <f t="shared" si="15"/>
        <v>4</v>
      </c>
      <c r="B418" s="2" t="s">
        <v>421</v>
      </c>
      <c r="C418" s="2">
        <v>1988</v>
      </c>
      <c r="D418" s="2" t="s">
        <v>25</v>
      </c>
      <c r="E418" s="2">
        <f>16+9+3+14</f>
        <v>42</v>
      </c>
      <c r="F418" s="2">
        <f>368+603+270+535+660+1459+418+607+666+958</f>
        <v>6544</v>
      </c>
      <c r="G418" s="3">
        <f t="shared" si="14"/>
        <v>155.8095238095238</v>
      </c>
    </row>
    <row r="419" spans="1:7" ht="15">
      <c r="A419" s="5">
        <f t="shared" si="15"/>
        <v>5</v>
      </c>
      <c r="B419" s="2" t="s">
        <v>422</v>
      </c>
      <c r="C419" s="2">
        <v>1989</v>
      </c>
      <c r="D419" s="2" t="s">
        <v>95</v>
      </c>
      <c r="E419" s="2">
        <f>28+14</f>
        <v>42</v>
      </c>
      <c r="F419" s="2">
        <f>680+542+641+575+643+655+576+2109</f>
        <v>6421</v>
      </c>
      <c r="G419" s="3">
        <f t="shared" si="14"/>
        <v>152.88095238095238</v>
      </c>
    </row>
    <row r="420" spans="1:7" ht="15">
      <c r="A420" s="5">
        <f t="shared" si="15"/>
        <v>6</v>
      </c>
      <c r="B420" s="2" t="s">
        <v>423</v>
      </c>
      <c r="C420" s="2">
        <v>1988</v>
      </c>
      <c r="D420" s="2" t="s">
        <v>25</v>
      </c>
      <c r="E420" s="2">
        <f>19+3+6+3+14</f>
        <v>45</v>
      </c>
      <c r="F420" s="2">
        <f>385+658+624+253+497+430+450+933+489+528+598+1022</f>
        <v>6867</v>
      </c>
      <c r="G420" s="3">
        <f t="shared" si="14"/>
        <v>152.6</v>
      </c>
    </row>
    <row r="421" spans="1:7" ht="15">
      <c r="A421" s="5">
        <f t="shared" si="15"/>
        <v>7</v>
      </c>
      <c r="B421" s="2" t="s">
        <v>424</v>
      </c>
      <c r="C421" s="2">
        <v>1988</v>
      </c>
      <c r="D421" s="2" t="s">
        <v>91</v>
      </c>
      <c r="E421" s="2">
        <f>22</f>
        <v>22</v>
      </c>
      <c r="F421" s="2">
        <f>3338</f>
        <v>3338</v>
      </c>
      <c r="G421" s="3">
        <f t="shared" si="14"/>
        <v>151.72727272727272</v>
      </c>
    </row>
    <row r="422" spans="1:7" ht="15">
      <c r="A422" s="40">
        <f t="shared" si="15"/>
        <v>8</v>
      </c>
      <c r="B422" s="41" t="s">
        <v>425</v>
      </c>
      <c r="C422" s="41">
        <v>1989</v>
      </c>
      <c r="D422" s="41" t="s">
        <v>47</v>
      </c>
      <c r="E422" s="41">
        <f>21+3</f>
        <v>24</v>
      </c>
      <c r="F422" s="41">
        <f>602+410+463+588+678+405+489</f>
        <v>3635</v>
      </c>
      <c r="G422" s="42">
        <f t="shared" si="14"/>
        <v>151.45833333333334</v>
      </c>
    </row>
    <row r="423" spans="1:7" ht="15">
      <c r="A423" s="5">
        <f t="shared" si="15"/>
        <v>9</v>
      </c>
      <c r="B423" s="2" t="s">
        <v>426</v>
      </c>
      <c r="C423" s="2">
        <v>1988</v>
      </c>
      <c r="D423" s="2" t="s">
        <v>16</v>
      </c>
      <c r="E423" s="2">
        <f>24</f>
        <v>24</v>
      </c>
      <c r="F423" s="2">
        <f>623+566+603+488+661+604</f>
        <v>3545</v>
      </c>
      <c r="G423" s="3">
        <f t="shared" si="14"/>
        <v>147.70833333333334</v>
      </c>
    </row>
    <row r="424" spans="1:7" ht="15">
      <c r="A424" s="5">
        <f t="shared" si="15"/>
        <v>10</v>
      </c>
      <c r="B424" s="2" t="s">
        <v>427</v>
      </c>
      <c r="C424" s="2">
        <v>1990</v>
      </c>
      <c r="D424" s="2" t="s">
        <v>16</v>
      </c>
      <c r="E424" s="2">
        <f>24+6+3+3+14</f>
        <v>50</v>
      </c>
      <c r="F424" s="2">
        <f>480+496+501+647+683+679+838+530+478+580+592+773</f>
        <v>7277</v>
      </c>
      <c r="G424" s="3">
        <f t="shared" si="14"/>
        <v>145.54</v>
      </c>
    </row>
    <row r="425" spans="1:7" ht="15">
      <c r="A425" s="5">
        <f t="shared" si="15"/>
        <v>11</v>
      </c>
      <c r="B425" s="2" t="s">
        <v>428</v>
      </c>
      <c r="C425" s="2">
        <v>1990</v>
      </c>
      <c r="D425" s="2" t="s">
        <v>16</v>
      </c>
      <c r="E425" s="2">
        <f>24+3+14</f>
        <v>41</v>
      </c>
      <c r="F425" s="2">
        <f>493+610+582+593+597+588+426+521+614+907</f>
        <v>5931</v>
      </c>
      <c r="G425" s="3">
        <f t="shared" si="14"/>
        <v>144.65853658536585</v>
      </c>
    </row>
    <row r="426" spans="1:7" ht="15">
      <c r="A426" s="5">
        <f t="shared" si="15"/>
        <v>12</v>
      </c>
      <c r="B426" s="2" t="s">
        <v>429</v>
      </c>
      <c r="C426" s="2">
        <v>1989</v>
      </c>
      <c r="D426" s="2" t="s">
        <v>95</v>
      </c>
      <c r="E426" s="2">
        <f>24+6</f>
        <v>30</v>
      </c>
      <c r="F426" s="2">
        <f>624+572+527+553+561+496+469+515</f>
        <v>4317</v>
      </c>
      <c r="G426" s="3">
        <f t="shared" si="14"/>
        <v>143.9</v>
      </c>
    </row>
    <row r="427" spans="1:7" ht="15">
      <c r="A427" s="5">
        <f t="shared" si="15"/>
        <v>13</v>
      </c>
      <c r="B427" s="2" t="s">
        <v>430</v>
      </c>
      <c r="C427" s="2">
        <v>1988</v>
      </c>
      <c r="D427" s="2" t="s">
        <v>16</v>
      </c>
      <c r="E427" s="2">
        <f>9+3+14</f>
        <v>26</v>
      </c>
      <c r="F427" s="2">
        <f>1289+395+553+573+866</f>
        <v>3676</v>
      </c>
      <c r="G427" s="3">
        <f t="shared" si="14"/>
        <v>141.3846153846154</v>
      </c>
    </row>
    <row r="428" spans="1:7" ht="15">
      <c r="A428" s="5">
        <f t="shared" si="15"/>
        <v>14</v>
      </c>
      <c r="B428" s="12" t="s">
        <v>431</v>
      </c>
      <c r="C428" s="12">
        <v>1988</v>
      </c>
      <c r="D428" s="12" t="s">
        <v>80</v>
      </c>
      <c r="E428" s="2">
        <f>6</f>
        <v>6</v>
      </c>
      <c r="F428" s="2">
        <f>848</f>
        <v>848</v>
      </c>
      <c r="G428" s="3">
        <f t="shared" si="14"/>
        <v>141.33333333333334</v>
      </c>
    </row>
    <row r="429" spans="1:7" ht="15">
      <c r="A429" s="5">
        <f t="shared" si="15"/>
        <v>15</v>
      </c>
      <c r="B429" s="2" t="s">
        <v>432</v>
      </c>
      <c r="C429" s="2">
        <v>1988</v>
      </c>
      <c r="D429" s="2" t="s">
        <v>25</v>
      </c>
      <c r="E429" s="2">
        <f>18+3</f>
        <v>21</v>
      </c>
      <c r="F429" s="2">
        <f>524+404+489+549+532+468</f>
        <v>2966</v>
      </c>
      <c r="G429" s="3">
        <f t="shared" si="14"/>
        <v>141.23809523809524</v>
      </c>
    </row>
    <row r="430" spans="1:7" ht="15">
      <c r="A430" s="5">
        <f t="shared" si="15"/>
        <v>16</v>
      </c>
      <c r="B430" s="2" t="s">
        <v>433</v>
      </c>
      <c r="C430" s="2">
        <v>1988</v>
      </c>
      <c r="D430" s="2" t="s">
        <v>80</v>
      </c>
      <c r="E430" s="2">
        <f>3</f>
        <v>3</v>
      </c>
      <c r="F430" s="2">
        <f>418</f>
        <v>418</v>
      </c>
      <c r="G430" s="3">
        <f t="shared" si="14"/>
        <v>139.33333333333334</v>
      </c>
    </row>
    <row r="431" spans="1:7" ht="15">
      <c r="A431" s="5">
        <f t="shared" si="15"/>
        <v>17</v>
      </c>
      <c r="B431" s="2" t="s">
        <v>434</v>
      </c>
      <c r="C431" s="2">
        <v>1990</v>
      </c>
      <c r="D431" s="2" t="s">
        <v>16</v>
      </c>
      <c r="E431" s="2">
        <f>22+6+3+14</f>
        <v>45</v>
      </c>
      <c r="F431" s="2">
        <f>542+564+560+473+554+194+829+432+566+657+854</f>
        <v>6225</v>
      </c>
      <c r="G431" s="3">
        <f t="shared" si="14"/>
        <v>138.33333333333334</v>
      </c>
    </row>
    <row r="432" spans="1:7" ht="15">
      <c r="A432" s="5">
        <f t="shared" si="15"/>
        <v>18</v>
      </c>
      <c r="B432" s="2" t="s">
        <v>435</v>
      </c>
      <c r="C432" s="2">
        <v>1989</v>
      </c>
      <c r="D432" s="2" t="s">
        <v>52</v>
      </c>
      <c r="E432" s="2">
        <f>15+2+8</f>
        <v>25</v>
      </c>
      <c r="F432" s="2">
        <f>224+686+346+398+360+272+539+598</f>
        <v>3423</v>
      </c>
      <c r="G432" s="3">
        <f t="shared" si="14"/>
        <v>136.92</v>
      </c>
    </row>
    <row r="433" spans="1:7" ht="15">
      <c r="A433" s="5">
        <f t="shared" si="15"/>
        <v>19</v>
      </c>
      <c r="B433" s="2" t="s">
        <v>436</v>
      </c>
      <c r="C433" s="2">
        <v>1990</v>
      </c>
      <c r="D433" s="2" t="s">
        <v>21</v>
      </c>
      <c r="E433" s="2">
        <f>18+3+8</f>
        <v>29</v>
      </c>
      <c r="F433" s="2">
        <f>536+488+370+431+460+350+469+588</f>
        <v>3692</v>
      </c>
      <c r="G433" s="3">
        <f t="shared" si="14"/>
        <v>127.3103448275862</v>
      </c>
    </row>
    <row r="434" spans="1:7" ht="15">
      <c r="A434" s="5">
        <f t="shared" si="15"/>
        <v>20</v>
      </c>
      <c r="B434" s="2" t="s">
        <v>437</v>
      </c>
      <c r="C434" s="2">
        <v>1988</v>
      </c>
      <c r="D434" s="2" t="s">
        <v>25</v>
      </c>
      <c r="E434" s="2">
        <f>15+3+8</f>
        <v>26</v>
      </c>
      <c r="F434" s="2">
        <f>489+365+575+413+371+511+584</f>
        <v>3308</v>
      </c>
      <c r="G434" s="3">
        <f t="shared" si="14"/>
        <v>127.23076923076923</v>
      </c>
    </row>
    <row r="435" spans="1:7" ht="15">
      <c r="A435" s="5">
        <f t="shared" si="15"/>
        <v>21</v>
      </c>
      <c r="B435" s="2" t="s">
        <v>438</v>
      </c>
      <c r="C435" s="2">
        <v>1989</v>
      </c>
      <c r="D435" s="2" t="s">
        <v>91</v>
      </c>
      <c r="E435" s="2">
        <f>9</f>
        <v>9</v>
      </c>
      <c r="F435" s="2">
        <f>1143</f>
        <v>1143</v>
      </c>
      <c r="G435" s="3">
        <f t="shared" si="14"/>
        <v>127</v>
      </c>
    </row>
    <row r="436" spans="1:7" ht="15">
      <c r="A436" s="5">
        <f t="shared" si="15"/>
        <v>22</v>
      </c>
      <c r="B436" s="12" t="s">
        <v>439</v>
      </c>
      <c r="C436" s="12">
        <v>1988</v>
      </c>
      <c r="D436" s="12" t="s">
        <v>102</v>
      </c>
      <c r="E436" s="2">
        <f>8</f>
        <v>8</v>
      </c>
      <c r="F436" s="2">
        <f>519+485</f>
        <v>1004</v>
      </c>
      <c r="G436" s="3">
        <f t="shared" si="14"/>
        <v>125.5</v>
      </c>
    </row>
    <row r="437" spans="1:7" ht="15">
      <c r="A437" s="5">
        <f t="shared" si="15"/>
        <v>23</v>
      </c>
      <c r="B437" s="2" t="s">
        <v>440</v>
      </c>
      <c r="C437" s="2">
        <v>1988</v>
      </c>
      <c r="D437" s="2" t="s">
        <v>80</v>
      </c>
      <c r="E437" s="2">
        <f>15</f>
        <v>15</v>
      </c>
      <c r="F437" s="2">
        <f>1882</f>
        <v>1882</v>
      </c>
      <c r="G437" s="3">
        <f t="shared" si="14"/>
        <v>125.46666666666667</v>
      </c>
    </row>
    <row r="438" spans="1:7" ht="15">
      <c r="A438" s="5">
        <f t="shared" si="15"/>
        <v>24</v>
      </c>
      <c r="B438" s="2" t="s">
        <v>441</v>
      </c>
      <c r="C438" s="2">
        <v>1991</v>
      </c>
      <c r="D438" s="2" t="s">
        <v>25</v>
      </c>
      <c r="E438" s="2">
        <f>17+3</f>
        <v>20</v>
      </c>
      <c r="F438" s="2">
        <f>327+303+378+530+516+443</f>
        <v>2497</v>
      </c>
      <c r="G438" s="3">
        <f t="shared" si="14"/>
        <v>124.85</v>
      </c>
    </row>
    <row r="439" spans="1:7" ht="15">
      <c r="A439" s="5">
        <f t="shared" si="15"/>
        <v>25</v>
      </c>
      <c r="B439" s="2" t="s">
        <v>442</v>
      </c>
      <c r="C439" s="2">
        <v>1988</v>
      </c>
      <c r="D439" s="2" t="s">
        <v>91</v>
      </c>
      <c r="E439" s="2">
        <f>21</f>
        <v>21</v>
      </c>
      <c r="F439" s="2">
        <f>2621</f>
        <v>2621</v>
      </c>
      <c r="G439" s="3">
        <f t="shared" si="14"/>
        <v>124.80952380952381</v>
      </c>
    </row>
    <row r="440" spans="1:7" ht="15">
      <c r="A440" s="5">
        <f t="shared" si="15"/>
        <v>26</v>
      </c>
      <c r="B440" s="2" t="s">
        <v>443</v>
      </c>
      <c r="C440" s="2">
        <v>1989</v>
      </c>
      <c r="D440" s="2" t="s">
        <v>25</v>
      </c>
      <c r="E440" s="2">
        <f>16</f>
        <v>16</v>
      </c>
      <c r="F440" s="2">
        <f>361+386+216+525+505</f>
        <v>1993</v>
      </c>
      <c r="G440" s="3">
        <f t="shared" si="14"/>
        <v>124.5625</v>
      </c>
    </row>
    <row r="441" spans="1:7" ht="15">
      <c r="A441" s="5">
        <f t="shared" si="15"/>
        <v>27</v>
      </c>
      <c r="B441" s="12" t="s">
        <v>444</v>
      </c>
      <c r="C441" s="12">
        <v>1990</v>
      </c>
      <c r="D441" s="12" t="s">
        <v>80</v>
      </c>
      <c r="E441" s="12">
        <f>21</f>
        <v>21</v>
      </c>
      <c r="F441" s="12">
        <f>2613</f>
        <v>2613</v>
      </c>
      <c r="G441" s="3">
        <f t="shared" si="14"/>
        <v>124.42857142857143</v>
      </c>
    </row>
    <row r="442" spans="1:7" ht="15">
      <c r="A442" s="5">
        <f t="shared" si="15"/>
        <v>28</v>
      </c>
      <c r="B442" s="2" t="s">
        <v>445</v>
      </c>
      <c r="C442" s="2">
        <v>1988</v>
      </c>
      <c r="D442" s="2" t="s">
        <v>25</v>
      </c>
      <c r="E442" s="2">
        <f>13+4+3</f>
        <v>20</v>
      </c>
      <c r="F442" s="2">
        <f>374+361+441+483+445+380</f>
        <v>2484</v>
      </c>
      <c r="G442" s="3">
        <f t="shared" si="14"/>
        <v>124.2</v>
      </c>
    </row>
    <row r="443" spans="1:7" ht="15">
      <c r="A443" s="5">
        <f t="shared" si="15"/>
        <v>29</v>
      </c>
      <c r="B443" s="2" t="s">
        <v>446</v>
      </c>
      <c r="C443" s="2">
        <v>1990</v>
      </c>
      <c r="D443" s="2" t="s">
        <v>80</v>
      </c>
      <c r="E443" s="2">
        <f>21</f>
        <v>21</v>
      </c>
      <c r="F443" s="2">
        <v>2606</v>
      </c>
      <c r="G443" s="3">
        <f t="shared" si="14"/>
        <v>124.0952380952381</v>
      </c>
    </row>
    <row r="444" spans="1:7" ht="15">
      <c r="A444" s="5">
        <f t="shared" si="15"/>
        <v>30</v>
      </c>
      <c r="B444" s="2" t="s">
        <v>447</v>
      </c>
      <c r="C444" s="2">
        <v>1988</v>
      </c>
      <c r="D444" s="2" t="s">
        <v>91</v>
      </c>
      <c r="E444" s="2">
        <f>3</f>
        <v>3</v>
      </c>
      <c r="F444" s="2">
        <f>367</f>
        <v>367</v>
      </c>
      <c r="G444" s="3">
        <f t="shared" si="14"/>
        <v>122.33333333333333</v>
      </c>
    </row>
    <row r="445" spans="1:7" ht="15">
      <c r="A445" s="5">
        <f t="shared" si="15"/>
        <v>31</v>
      </c>
      <c r="B445" s="2" t="s">
        <v>448</v>
      </c>
      <c r="C445" s="2">
        <v>1988</v>
      </c>
      <c r="D445" s="2" t="s">
        <v>25</v>
      </c>
      <c r="E445" s="2">
        <f>3+6+2+1</f>
        <v>12</v>
      </c>
      <c r="F445" s="2">
        <f>516+314+296+184+106</f>
        <v>1416</v>
      </c>
      <c r="G445" s="3">
        <f t="shared" si="14"/>
        <v>118</v>
      </c>
    </row>
    <row r="446" spans="1:7" ht="15">
      <c r="A446" s="5">
        <f t="shared" si="15"/>
        <v>32</v>
      </c>
      <c r="B446" s="2" t="s">
        <v>449</v>
      </c>
      <c r="C446" s="2">
        <v>1991</v>
      </c>
      <c r="D446" s="2" t="s">
        <v>21</v>
      </c>
      <c r="E446" s="2">
        <f>17+3</f>
        <v>20</v>
      </c>
      <c r="F446" s="2">
        <f>316+300+324+443+544+383</f>
        <v>2310</v>
      </c>
      <c r="G446" s="3">
        <f t="shared" si="14"/>
        <v>115.5</v>
      </c>
    </row>
    <row r="447" spans="1:7" ht="15">
      <c r="A447" s="5">
        <f t="shared" si="15"/>
        <v>33</v>
      </c>
      <c r="B447" s="2" t="s">
        <v>450</v>
      </c>
      <c r="C447" s="2">
        <v>1990</v>
      </c>
      <c r="D447" s="2" t="s">
        <v>21</v>
      </c>
      <c r="E447" s="2">
        <f>18</f>
        <v>18</v>
      </c>
      <c r="F447" s="2">
        <f>460+363+339+482+429</f>
        <v>2073</v>
      </c>
      <c r="G447" s="3">
        <f t="shared" si="14"/>
        <v>115.16666666666667</v>
      </c>
    </row>
    <row r="448" spans="1:7" ht="15">
      <c r="A448" s="5">
        <f t="shared" si="15"/>
        <v>34</v>
      </c>
      <c r="B448" s="2" t="s">
        <v>451</v>
      </c>
      <c r="C448" s="2">
        <v>1994</v>
      </c>
      <c r="D448" s="2" t="s">
        <v>25</v>
      </c>
      <c r="E448" s="2">
        <f>4</f>
        <v>4</v>
      </c>
      <c r="F448" s="2">
        <f>459</f>
        <v>459</v>
      </c>
      <c r="G448" s="3">
        <f t="shared" si="14"/>
        <v>114.75</v>
      </c>
    </row>
    <row r="449" spans="1:7" ht="15">
      <c r="A449" s="5">
        <f t="shared" si="15"/>
        <v>35</v>
      </c>
      <c r="B449" s="2" t="s">
        <v>452</v>
      </c>
      <c r="C449" s="2">
        <v>1988</v>
      </c>
      <c r="D449" s="2" t="s">
        <v>52</v>
      </c>
      <c r="E449" s="2">
        <f>4+10+3+8</f>
        <v>25</v>
      </c>
      <c r="F449" s="2">
        <f>342+314+376+472+315+462+561</f>
        <v>2842</v>
      </c>
      <c r="G449" s="3">
        <f t="shared" si="14"/>
        <v>113.68</v>
      </c>
    </row>
    <row r="450" spans="1:7" ht="15">
      <c r="A450" s="5">
        <f t="shared" si="15"/>
        <v>36</v>
      </c>
      <c r="B450" s="2" t="s">
        <v>453</v>
      </c>
      <c r="C450" s="2"/>
      <c r="D450" s="2" t="s">
        <v>91</v>
      </c>
      <c r="E450" s="2">
        <f>4</f>
        <v>4</v>
      </c>
      <c r="F450" s="2">
        <f>451</f>
        <v>451</v>
      </c>
      <c r="G450" s="3">
        <f t="shared" si="14"/>
        <v>112.75</v>
      </c>
    </row>
    <row r="451" spans="1:7" ht="15">
      <c r="A451" s="5">
        <f t="shared" si="15"/>
        <v>37</v>
      </c>
      <c r="B451" s="2" t="s">
        <v>454</v>
      </c>
      <c r="C451" s="2">
        <v>1988</v>
      </c>
      <c r="D451" s="2" t="s">
        <v>52</v>
      </c>
      <c r="E451" s="2">
        <f>11+8</f>
        <v>19</v>
      </c>
      <c r="F451" s="2">
        <f>236+252+379+340+447+483</f>
        <v>2137</v>
      </c>
      <c r="G451" s="3">
        <f t="shared" si="14"/>
        <v>112.47368421052632</v>
      </c>
    </row>
    <row r="452" spans="1:7" ht="15">
      <c r="A452" s="5">
        <f t="shared" si="15"/>
        <v>38</v>
      </c>
      <c r="B452" s="12" t="s">
        <v>455</v>
      </c>
      <c r="C452" s="12">
        <v>1990</v>
      </c>
      <c r="D452" s="12" t="s">
        <v>80</v>
      </c>
      <c r="E452" s="12">
        <f>3</f>
        <v>3</v>
      </c>
      <c r="F452" s="12">
        <f>337</f>
        <v>337</v>
      </c>
      <c r="G452" s="3">
        <f t="shared" si="14"/>
        <v>112.33333333333333</v>
      </c>
    </row>
    <row r="453" spans="1:7" ht="15">
      <c r="A453" s="5">
        <f t="shared" si="15"/>
        <v>39</v>
      </c>
      <c r="B453" s="2" t="s">
        <v>456</v>
      </c>
      <c r="C453" s="2">
        <v>1990</v>
      </c>
      <c r="D453" s="2" t="s">
        <v>25</v>
      </c>
      <c r="E453" s="2">
        <f>11+4+3</f>
        <v>18</v>
      </c>
      <c r="F453" s="2">
        <f>346+407+357+417+482</f>
        <v>2009</v>
      </c>
      <c r="G453" s="3">
        <f t="shared" si="14"/>
        <v>111.61111111111111</v>
      </c>
    </row>
    <row r="454" spans="1:7" ht="15">
      <c r="A454" s="5">
        <f t="shared" si="15"/>
        <v>40</v>
      </c>
      <c r="B454" s="2" t="s">
        <v>457</v>
      </c>
      <c r="C454" s="2">
        <v>1989</v>
      </c>
      <c r="D454" s="2" t="s">
        <v>25</v>
      </c>
      <c r="E454" s="2">
        <f>6+3</f>
        <v>9</v>
      </c>
      <c r="F454" s="2">
        <f>310+340+324</f>
        <v>974</v>
      </c>
      <c r="G454" s="3">
        <f t="shared" si="14"/>
        <v>108.22222222222223</v>
      </c>
    </row>
    <row r="455" spans="1:7" ht="15">
      <c r="A455" s="5">
        <f t="shared" si="15"/>
        <v>41</v>
      </c>
      <c r="B455" s="2" t="s">
        <v>458</v>
      </c>
      <c r="C455" s="2">
        <v>1992</v>
      </c>
      <c r="D455" s="2" t="s">
        <v>25</v>
      </c>
      <c r="E455" s="2">
        <f>16+2</f>
        <v>18</v>
      </c>
      <c r="F455" s="2">
        <f>416+324+332+191+441+238</f>
        <v>1942</v>
      </c>
      <c r="G455" s="3">
        <f t="shared" si="14"/>
        <v>107.88888888888889</v>
      </c>
    </row>
    <row r="456" spans="1:7" ht="15">
      <c r="A456" s="5">
        <f t="shared" si="15"/>
        <v>42</v>
      </c>
      <c r="B456" s="2" t="s">
        <v>459</v>
      </c>
      <c r="C456" s="2">
        <v>1992</v>
      </c>
      <c r="D456" s="2" t="s">
        <v>25</v>
      </c>
      <c r="E456" s="2">
        <f>2+10+3</f>
        <v>15</v>
      </c>
      <c r="F456" s="2">
        <f>154+251+357+459+374</f>
        <v>1595</v>
      </c>
      <c r="G456" s="3">
        <f t="shared" si="14"/>
        <v>106.33333333333333</v>
      </c>
    </row>
    <row r="457" spans="1:7" ht="15">
      <c r="A457" s="40">
        <f t="shared" si="15"/>
        <v>43</v>
      </c>
      <c r="B457" s="41" t="s">
        <v>460</v>
      </c>
      <c r="C457" s="41">
        <v>1989</v>
      </c>
      <c r="D457" s="41" t="s">
        <v>47</v>
      </c>
      <c r="E457" s="41">
        <f>1+8</f>
        <v>9</v>
      </c>
      <c r="F457" s="41">
        <f>87+478+388</f>
        <v>953</v>
      </c>
      <c r="G457" s="42">
        <f t="shared" si="14"/>
        <v>105.88888888888889</v>
      </c>
    </row>
    <row r="458" spans="1:7" ht="15">
      <c r="A458" s="5">
        <f t="shared" si="15"/>
        <v>44</v>
      </c>
      <c r="B458" s="2" t="s">
        <v>461</v>
      </c>
      <c r="C458" s="2">
        <v>1988</v>
      </c>
      <c r="D458" s="2" t="s">
        <v>21</v>
      </c>
      <c r="E458" s="2">
        <f>7+2</f>
        <v>9</v>
      </c>
      <c r="F458" s="2">
        <f>343+393+216</f>
        <v>952</v>
      </c>
      <c r="G458" s="3">
        <f t="shared" si="14"/>
        <v>105.77777777777777</v>
      </c>
    </row>
    <row r="459" spans="1:7" ht="15">
      <c r="A459" s="40">
        <f t="shared" si="15"/>
        <v>45</v>
      </c>
      <c r="B459" s="41" t="s">
        <v>462</v>
      </c>
      <c r="C459" s="41">
        <v>1991</v>
      </c>
      <c r="D459" s="41" t="s">
        <v>47</v>
      </c>
      <c r="E459" s="41">
        <f>11+1+8</f>
        <v>20</v>
      </c>
      <c r="F459" s="41">
        <f>278+412+448+97+480+367</f>
        <v>2082</v>
      </c>
      <c r="G459" s="42">
        <f t="shared" si="14"/>
        <v>104.1</v>
      </c>
    </row>
    <row r="460" spans="1:7" ht="15">
      <c r="A460" s="5">
        <f t="shared" si="15"/>
        <v>46</v>
      </c>
      <c r="B460" s="2" t="s">
        <v>463</v>
      </c>
      <c r="C460" s="2">
        <v>1991</v>
      </c>
      <c r="D460" s="2" t="s">
        <v>52</v>
      </c>
      <c r="E460" s="2">
        <f>7+2+8</f>
        <v>17</v>
      </c>
      <c r="F460" s="2">
        <f>359+306+213+368+511</f>
        <v>1757</v>
      </c>
      <c r="G460" s="3">
        <f t="shared" si="14"/>
        <v>103.3529411764706</v>
      </c>
    </row>
    <row r="461" spans="1:7" ht="15">
      <c r="A461" s="5">
        <f t="shared" si="15"/>
        <v>47</v>
      </c>
      <c r="B461" s="2" t="s">
        <v>464</v>
      </c>
      <c r="C461" s="2">
        <v>1989</v>
      </c>
      <c r="D461" s="2" t="s">
        <v>25</v>
      </c>
      <c r="E461" s="2">
        <f>11+3+8</f>
        <v>22</v>
      </c>
      <c r="F461" s="2">
        <f>288+325+76+449+325+391+411</f>
        <v>2265</v>
      </c>
      <c r="G461" s="3">
        <f t="shared" si="14"/>
        <v>102.95454545454545</v>
      </c>
    </row>
    <row r="462" spans="1:7" ht="15">
      <c r="A462" s="5">
        <f t="shared" si="15"/>
        <v>48</v>
      </c>
      <c r="B462" s="2" t="s">
        <v>465</v>
      </c>
      <c r="C462" s="2">
        <v>1990</v>
      </c>
      <c r="D462" s="2" t="s">
        <v>91</v>
      </c>
      <c r="E462" s="2">
        <f>2</f>
        <v>2</v>
      </c>
      <c r="F462" s="2">
        <f>198</f>
        <v>198</v>
      </c>
      <c r="G462" s="3">
        <f t="shared" si="14"/>
        <v>99</v>
      </c>
    </row>
    <row r="463" spans="1:7" ht="15">
      <c r="A463" s="5">
        <v>55</v>
      </c>
      <c r="B463" s="2" t="s">
        <v>466</v>
      </c>
      <c r="C463" s="2">
        <v>1990</v>
      </c>
      <c r="D463" s="2" t="s">
        <v>232</v>
      </c>
      <c r="E463" s="2">
        <f>8</f>
        <v>8</v>
      </c>
      <c r="F463" s="2">
        <f>394+390</f>
        <v>784</v>
      </c>
      <c r="G463" s="3">
        <f t="shared" si="14"/>
        <v>98</v>
      </c>
    </row>
    <row r="464" spans="1:7" ht="15">
      <c r="A464" s="5">
        <v>56</v>
      </c>
      <c r="B464" s="2" t="s">
        <v>467</v>
      </c>
      <c r="C464" s="2">
        <v>1991</v>
      </c>
      <c r="D464" s="2" t="s">
        <v>25</v>
      </c>
      <c r="E464" s="2">
        <f>3</f>
        <v>3</v>
      </c>
      <c r="F464" s="2">
        <f>292</f>
        <v>292</v>
      </c>
      <c r="G464" s="3">
        <f t="shared" si="14"/>
        <v>97.33333333333333</v>
      </c>
    </row>
    <row r="465" spans="1:7" ht="15">
      <c r="A465" s="5">
        <v>57</v>
      </c>
      <c r="B465" s="2" t="s">
        <v>468</v>
      </c>
      <c r="C465" s="2">
        <v>1991</v>
      </c>
      <c r="D465" s="2" t="s">
        <v>25</v>
      </c>
      <c r="E465" s="2">
        <f>4</f>
        <v>4</v>
      </c>
      <c r="F465" s="2">
        <f>389</f>
        <v>389</v>
      </c>
      <c r="G465" s="3">
        <f t="shared" si="14"/>
        <v>97.25</v>
      </c>
    </row>
    <row r="466" spans="1:7" ht="15">
      <c r="A466" s="5">
        <v>58</v>
      </c>
      <c r="B466" s="2" t="s">
        <v>469</v>
      </c>
      <c r="C466" s="2">
        <v>1989</v>
      </c>
      <c r="D466" s="2" t="s">
        <v>25</v>
      </c>
      <c r="E466" s="2">
        <f>15</f>
        <v>15</v>
      </c>
      <c r="F466" s="2">
        <f>200+291+303+376+285</f>
        <v>1455</v>
      </c>
      <c r="G466" s="3">
        <f t="shared" si="14"/>
        <v>97</v>
      </c>
    </row>
    <row r="467" spans="1:7" ht="15">
      <c r="A467" s="5">
        <v>59</v>
      </c>
      <c r="B467" s="2" t="s">
        <v>470</v>
      </c>
      <c r="C467" s="2">
        <v>1991</v>
      </c>
      <c r="D467" s="2" t="s">
        <v>52</v>
      </c>
      <c r="E467" s="2">
        <f>17+3+8</f>
        <v>28</v>
      </c>
      <c r="F467" s="2">
        <f>323+366+270+248+351+286+438+420</f>
        <v>2702</v>
      </c>
      <c r="G467" s="3">
        <f t="shared" si="14"/>
        <v>96.5</v>
      </c>
    </row>
    <row r="468" spans="1:7" ht="15">
      <c r="A468" s="5">
        <v>60</v>
      </c>
      <c r="B468" s="2" t="s">
        <v>471</v>
      </c>
      <c r="C468" s="2">
        <v>1991</v>
      </c>
      <c r="D468" s="2" t="s">
        <v>52</v>
      </c>
      <c r="E468" s="2">
        <f>10+4</f>
        <v>14</v>
      </c>
      <c r="F468" s="2">
        <f>260+346+359+371</f>
        <v>1336</v>
      </c>
      <c r="G468" s="3">
        <f t="shared" si="14"/>
        <v>95.42857142857143</v>
      </c>
    </row>
    <row r="469" spans="1:7" ht="15">
      <c r="A469" s="5">
        <v>61</v>
      </c>
      <c r="B469" s="2" t="s">
        <v>472</v>
      </c>
      <c r="C469" s="2">
        <v>1989</v>
      </c>
      <c r="D469" s="2" t="s">
        <v>21</v>
      </c>
      <c r="E469" s="2">
        <f>13+3</f>
        <v>16</v>
      </c>
      <c r="F469" s="2">
        <f>174+307+361+383+265</f>
        <v>1490</v>
      </c>
      <c r="G469" s="3">
        <f t="shared" si="14"/>
        <v>93.125</v>
      </c>
    </row>
    <row r="470" spans="1:7" ht="15">
      <c r="A470" s="1">
        <v>62</v>
      </c>
      <c r="B470" s="2" t="s">
        <v>473</v>
      </c>
      <c r="C470" s="2">
        <v>1990</v>
      </c>
      <c r="D470" s="2" t="s">
        <v>25</v>
      </c>
      <c r="E470" s="2">
        <f>4</f>
        <v>4</v>
      </c>
      <c r="F470" s="2">
        <f>366</f>
        <v>366</v>
      </c>
      <c r="G470" s="3">
        <f t="shared" si="14"/>
        <v>91.5</v>
      </c>
    </row>
    <row r="471" spans="1:7" ht="15">
      <c r="A471" s="1">
        <v>63</v>
      </c>
      <c r="B471" s="2" t="s">
        <v>474</v>
      </c>
      <c r="C471" s="2">
        <v>1992</v>
      </c>
      <c r="D471" s="2" t="s">
        <v>52</v>
      </c>
      <c r="E471" s="2">
        <f>18+3+8</f>
        <v>29</v>
      </c>
      <c r="F471" s="2">
        <f>392+300+220+341+242+364+425+343</f>
        <v>2627</v>
      </c>
      <c r="G471" s="3">
        <f t="shared" si="14"/>
        <v>90.58620689655173</v>
      </c>
    </row>
    <row r="472" spans="1:7" ht="15">
      <c r="A472" s="1">
        <v>64</v>
      </c>
      <c r="B472" s="2" t="s">
        <v>475</v>
      </c>
      <c r="C472" s="2">
        <v>1991</v>
      </c>
      <c r="D472" s="2" t="s">
        <v>52</v>
      </c>
      <c r="E472" s="2">
        <f>17+3+8</f>
        <v>28</v>
      </c>
      <c r="F472" s="2">
        <f>216+410+210+227+335+240+427+440</f>
        <v>2505</v>
      </c>
      <c r="G472" s="3">
        <f t="shared" si="14"/>
        <v>89.46428571428571</v>
      </c>
    </row>
    <row r="473" spans="1:7" ht="15">
      <c r="A473" s="1">
        <v>65</v>
      </c>
      <c r="B473" s="2" t="s">
        <v>476</v>
      </c>
      <c r="C473" s="2">
        <v>1989</v>
      </c>
      <c r="D473" s="2" t="s">
        <v>52</v>
      </c>
      <c r="E473" s="2">
        <f>7+3+3+4</f>
        <v>17</v>
      </c>
      <c r="F473" s="2">
        <f>344+239+207+318+374</f>
        <v>1482</v>
      </c>
      <c r="G473" s="3">
        <f t="shared" si="14"/>
        <v>87.17647058823529</v>
      </c>
    </row>
    <row r="474" spans="1:7" ht="15">
      <c r="A474" s="1">
        <v>66</v>
      </c>
      <c r="B474" s="2" t="s">
        <v>477</v>
      </c>
      <c r="C474" s="2">
        <v>1991</v>
      </c>
      <c r="D474" s="2" t="s">
        <v>33</v>
      </c>
      <c r="E474" s="2">
        <f>11+3</f>
        <v>14</v>
      </c>
      <c r="F474" s="2">
        <f>348+269+333+245</f>
        <v>1195</v>
      </c>
      <c r="G474" s="3">
        <f t="shared" si="14"/>
        <v>85.35714285714286</v>
      </c>
    </row>
    <row r="475" spans="1:7" ht="15">
      <c r="A475" s="1">
        <v>67</v>
      </c>
      <c r="B475" s="2" t="s">
        <v>478</v>
      </c>
      <c r="C475" s="2">
        <v>1992</v>
      </c>
      <c r="D475" s="2" t="s">
        <v>52</v>
      </c>
      <c r="E475" s="2">
        <f>18+3+4</f>
        <v>25</v>
      </c>
      <c r="F475" s="2">
        <f>195+300+297+361+278+305+307</f>
        <v>2043</v>
      </c>
      <c r="G475" s="3">
        <f t="shared" si="14"/>
        <v>81.72</v>
      </c>
    </row>
    <row r="476" spans="1:7" ht="15">
      <c r="A476" s="1">
        <v>68</v>
      </c>
      <c r="B476" s="2" t="s">
        <v>479</v>
      </c>
      <c r="C476" s="2">
        <v>1992</v>
      </c>
      <c r="D476" s="2" t="s">
        <v>52</v>
      </c>
      <c r="E476" s="2">
        <f>18+2+4</f>
        <v>24</v>
      </c>
      <c r="F476" s="2">
        <f>301+377+196+289+264+142+355</f>
        <v>1924</v>
      </c>
      <c r="G476" s="3">
        <f t="shared" si="14"/>
        <v>80.16666666666667</v>
      </c>
    </row>
    <row r="477" spans="1:7" ht="15">
      <c r="A477" s="1">
        <v>69</v>
      </c>
      <c r="B477" s="2" t="s">
        <v>480</v>
      </c>
      <c r="C477" s="2">
        <v>1988</v>
      </c>
      <c r="D477" s="2" t="s">
        <v>52</v>
      </c>
      <c r="E477" s="2">
        <f>4</f>
        <v>4</v>
      </c>
      <c r="F477" s="2">
        <f>313</f>
        <v>313</v>
      </c>
      <c r="G477" s="3">
        <f t="shared" si="14"/>
        <v>78.25</v>
      </c>
    </row>
    <row r="478" spans="1:7" ht="15">
      <c r="A478" s="1">
        <v>70</v>
      </c>
      <c r="B478" s="2" t="s">
        <v>481</v>
      </c>
      <c r="C478" s="2">
        <v>1991</v>
      </c>
      <c r="D478" s="2" t="s">
        <v>52</v>
      </c>
      <c r="E478" s="2">
        <f>3+2</f>
        <v>5</v>
      </c>
      <c r="F478" s="2">
        <f>190+170</f>
        <v>360</v>
      </c>
      <c r="G478" s="3">
        <f t="shared" si="14"/>
        <v>72</v>
      </c>
    </row>
    <row r="479" spans="1:7" ht="15">
      <c r="A479" s="1">
        <v>71</v>
      </c>
      <c r="B479" s="2" t="s">
        <v>482</v>
      </c>
      <c r="C479" s="2">
        <v>1991</v>
      </c>
      <c r="D479" s="2" t="s">
        <v>25</v>
      </c>
      <c r="E479" s="2">
        <f>4</f>
        <v>4</v>
      </c>
      <c r="F479" s="2">
        <f>267</f>
        <v>267</v>
      </c>
      <c r="G479" s="3">
        <f>F479/E479</f>
        <v>66.75</v>
      </c>
    </row>
    <row r="480" spans="1:7" ht="15">
      <c r="A480" s="1"/>
      <c r="B480" s="2"/>
      <c r="C480" s="2"/>
      <c r="D480" s="2"/>
      <c r="E480" s="2"/>
      <c r="F480" s="2"/>
      <c r="G480" s="2"/>
    </row>
    <row r="481" spans="1:7" ht="15">
      <c r="A481" s="1"/>
      <c r="B481" s="2"/>
      <c r="C481" s="2"/>
      <c r="D481" s="2"/>
      <c r="E481" s="2"/>
      <c r="F481" s="2"/>
      <c r="G481" s="2"/>
    </row>
    <row r="482" spans="1:7" ht="22.5">
      <c r="A482" s="1"/>
      <c r="B482" s="14" t="s">
        <v>483</v>
      </c>
      <c r="C482" s="2"/>
      <c r="D482" s="2"/>
      <c r="E482" s="2"/>
      <c r="F482" s="2"/>
      <c r="G482" s="2"/>
    </row>
    <row r="483" spans="1:7" ht="18.75">
      <c r="A483" s="1"/>
      <c r="B483" s="15"/>
      <c r="C483" s="2"/>
      <c r="D483" s="2"/>
      <c r="E483" s="2"/>
      <c r="F483" s="2"/>
      <c r="G483" s="2"/>
    </row>
    <row r="484" spans="1:8" ht="15">
      <c r="A484" s="35"/>
      <c r="B484" s="36"/>
      <c r="C484" s="36"/>
      <c r="D484" s="36"/>
      <c r="E484" s="36"/>
      <c r="F484" s="36"/>
      <c r="G484" s="36"/>
      <c r="H484" s="28"/>
    </row>
    <row r="485" spans="1:8" ht="20.25">
      <c r="A485" s="37"/>
      <c r="B485" s="16" t="s">
        <v>484</v>
      </c>
      <c r="C485" s="2"/>
      <c r="D485" s="2"/>
      <c r="E485" s="2"/>
      <c r="F485" s="2"/>
      <c r="G485" s="2"/>
      <c r="H485" s="30"/>
    </row>
    <row r="486" spans="1:8" ht="15">
      <c r="A486" s="37"/>
      <c r="B486" s="2"/>
      <c r="C486" s="2"/>
      <c r="D486" s="2"/>
      <c r="E486" s="2"/>
      <c r="F486" s="2"/>
      <c r="G486" s="2"/>
      <c r="H486" s="30"/>
    </row>
    <row r="487" spans="1:8" ht="20.25">
      <c r="A487" s="37"/>
      <c r="B487" s="16" t="s">
        <v>485</v>
      </c>
      <c r="C487" s="2"/>
      <c r="D487" s="2"/>
      <c r="E487" s="2"/>
      <c r="F487" s="2"/>
      <c r="G487" s="2"/>
      <c r="H487" s="30"/>
    </row>
    <row r="488" spans="1:8" ht="15">
      <c r="A488" s="38"/>
      <c r="B488" s="39"/>
      <c r="C488" s="39"/>
      <c r="D488" s="39"/>
      <c r="E488" s="39"/>
      <c r="F488" s="39"/>
      <c r="G488" s="39"/>
      <c r="H488" s="34"/>
    </row>
    <row r="489" spans="1:8" ht="18.75">
      <c r="A489" s="26" t="s">
        <v>486</v>
      </c>
      <c r="B489" s="27"/>
      <c r="C489" s="27"/>
      <c r="D489" s="27"/>
      <c r="E489" s="27"/>
      <c r="F489" s="27"/>
      <c r="G489" s="27"/>
      <c r="H489" s="28"/>
    </row>
    <row r="490" spans="1:8" ht="18.75">
      <c r="A490" s="29"/>
      <c r="B490" s="15"/>
      <c r="C490" s="15"/>
      <c r="D490" s="15"/>
      <c r="E490" s="15"/>
      <c r="F490" s="15"/>
      <c r="G490" s="15"/>
      <c r="H490" s="30"/>
    </row>
    <row r="491" spans="1:8" ht="18.75">
      <c r="A491" s="29" t="s">
        <v>487</v>
      </c>
      <c r="B491" s="15"/>
      <c r="C491" s="15"/>
      <c r="D491" s="15" t="s">
        <v>488</v>
      </c>
      <c r="E491" s="15" t="s">
        <v>489</v>
      </c>
      <c r="F491" s="15"/>
      <c r="G491" s="15"/>
      <c r="H491" s="30"/>
    </row>
    <row r="492" spans="1:8" ht="18.75">
      <c r="A492" s="29"/>
      <c r="B492" s="15"/>
      <c r="C492" s="15"/>
      <c r="D492" s="15"/>
      <c r="E492" s="15"/>
      <c r="F492" s="15"/>
      <c r="G492" s="15"/>
      <c r="H492" s="30"/>
    </row>
    <row r="493" spans="1:8" ht="18.75">
      <c r="A493" s="29" t="s">
        <v>490</v>
      </c>
      <c r="B493" s="15"/>
      <c r="C493" s="15"/>
      <c r="D493" s="15" t="s">
        <v>491</v>
      </c>
      <c r="E493" s="15" t="s">
        <v>492</v>
      </c>
      <c r="F493" s="15"/>
      <c r="G493" s="17"/>
      <c r="H493" s="30"/>
    </row>
    <row r="494" spans="1:8" ht="18.75">
      <c r="A494" s="31"/>
      <c r="B494" s="32"/>
      <c r="C494" s="32"/>
      <c r="D494" s="32"/>
      <c r="E494" s="32"/>
      <c r="F494" s="32"/>
      <c r="G494" s="33"/>
      <c r="H494" s="34"/>
    </row>
  </sheetData>
  <printOptions/>
  <pageMargins left="0.75" right="0.75" top="1" bottom="1" header="0.4921259845" footer="0.4921259845"/>
  <pageSetup orientation="portrait" paperSize="9"/>
  <ignoredErrors>
    <ignoredError sqref="E4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HDA &amp; 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Arndt</dc:creator>
  <cp:keywords/>
  <dc:description/>
  <cp:lastModifiedBy>lion</cp:lastModifiedBy>
  <dcterms:created xsi:type="dcterms:W3CDTF">2002-03-25T21:51:32Z</dcterms:created>
  <dcterms:modified xsi:type="dcterms:W3CDTF">2002-04-15T13:55:51Z</dcterms:modified>
  <cp:category/>
  <cp:version/>
  <cp:contentType/>
  <cp:contentStatus/>
</cp:coreProperties>
</file>